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iCloudDrive\Documents\IBG\CIM - Leidos\"/>
    </mc:Choice>
  </mc:AlternateContent>
  <xr:revisionPtr revIDLastSave="0" documentId="13_ncr:1_{0DDBC298-EFA2-437C-ADE5-F7B331435E2F}" xr6:coauthVersionLast="47" xr6:coauthVersionMax="47" xr10:uidLastSave="{00000000-0000-0000-0000-000000000000}"/>
  <bookViews>
    <workbookView xWindow="-30828" yWindow="-2328" windowWidth="30936" windowHeight="16896" tabRatio="846" xr2:uid="{74885123-E79E-40CB-A8BA-9F1C2004D2D9}"/>
  </bookViews>
  <sheets>
    <sheet name="DCF Overview" sheetId="7" r:id="rId1"/>
    <sheet name="DCF Sensitivity Analysis" sheetId="11" r:id="rId2"/>
    <sheet name="CCA Overview" sheetId="12" r:id="rId3"/>
    <sheet name="Comparable Companies" sheetId="6" r:id="rId4"/>
    <sheet name="WACC" sheetId="5" r:id="rId5"/>
    <sheet name="NWC" sheetId="10" r:id="rId6"/>
    <sheet name="Income Statement" sheetId="1" r:id="rId7"/>
    <sheet name="Balance Sheet" sheetId="3" r:id="rId8"/>
    <sheet name="Statement of Cash Flows" sheetId="4" r:id="rId9"/>
    <sheet name="Revenue Build" sheetId="2" r:id="rId10"/>
    <sheet name="Assumptions" sheetId="8"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5" l="1"/>
  <c r="L7" i="6"/>
  <c r="J8" i="2"/>
  <c r="K8" i="2"/>
  <c r="L8" i="2"/>
  <c r="M8" i="2"/>
  <c r="V11" i="5"/>
  <c r="U11" i="5"/>
  <c r="T11" i="5"/>
  <c r="S11" i="5"/>
  <c r="R11" i="5"/>
  <c r="Q11" i="5"/>
  <c r="L25" i="6"/>
  <c r="V18" i="12"/>
  <c r="W18" i="12"/>
  <c r="U18" i="12"/>
  <c r="Q19" i="12"/>
  <c r="K19" i="12"/>
  <c r="L17" i="12"/>
  <c r="P17" i="12"/>
  <c r="R17" i="12"/>
  <c r="J17" i="12"/>
  <c r="L16" i="12"/>
  <c r="P16" i="12"/>
  <c r="R16" i="12"/>
  <c r="J16" i="12"/>
  <c r="W17" i="12"/>
  <c r="W16" i="12"/>
  <c r="W15" i="12"/>
  <c r="W14" i="12"/>
  <c r="V14" i="12" s="1"/>
  <c r="W13" i="12"/>
  <c r="U17" i="12"/>
  <c r="U16" i="12"/>
  <c r="U15" i="12"/>
  <c r="V15" i="12" s="1"/>
  <c r="U14" i="12"/>
  <c r="U13" i="12"/>
  <c r="V13" i="12"/>
  <c r="V17" i="12"/>
  <c r="D14" i="12"/>
  <c r="L14" i="12" s="1"/>
  <c r="R14" i="12" s="1"/>
  <c r="N14" i="12"/>
  <c r="D12" i="12"/>
  <c r="L12" i="12" s="1"/>
  <c r="R12" i="12" s="1"/>
  <c r="N12" i="12"/>
  <c r="Q8" i="5"/>
  <c r="D25" i="6"/>
  <c r="X39" i="6" s="1"/>
  <c r="D24" i="6"/>
  <c r="D19" i="6"/>
  <c r="D18" i="6"/>
  <c r="D17" i="6"/>
  <c r="D12" i="6"/>
  <c r="D11" i="6"/>
  <c r="D10" i="6"/>
  <c r="E69" i="7"/>
  <c r="N9" i="12"/>
  <c r="N10" i="12"/>
  <c r="N8" i="12"/>
  <c r="L9" i="12"/>
  <c r="R9" i="12" s="1"/>
  <c r="J10" i="12"/>
  <c r="P10" i="12" s="1"/>
  <c r="D10" i="12"/>
  <c r="L10" i="12" s="1"/>
  <c r="R10" i="12" s="1"/>
  <c r="D9" i="12"/>
  <c r="J9" i="12" s="1"/>
  <c r="P9" i="12" s="1"/>
  <c r="D8" i="12"/>
  <c r="L8" i="12" s="1"/>
  <c r="R8" i="12" s="1"/>
  <c r="L39" i="6"/>
  <c r="AK35" i="6"/>
  <c r="AJ35" i="6"/>
  <c r="AI35" i="6"/>
  <c r="AH35" i="6"/>
  <c r="AG35" i="6"/>
  <c r="AE35" i="6"/>
  <c r="AD35" i="6"/>
  <c r="AB35" i="6"/>
  <c r="AA35" i="6"/>
  <c r="Z35" i="6"/>
  <c r="X35" i="6"/>
  <c r="W35" i="6"/>
  <c r="V35" i="6"/>
  <c r="U35" i="6"/>
  <c r="S35" i="6"/>
  <c r="R35" i="6"/>
  <c r="Q35" i="6"/>
  <c r="P35" i="6"/>
  <c r="O35" i="6"/>
  <c r="M35" i="6"/>
  <c r="L35" i="6"/>
  <c r="K35" i="6"/>
  <c r="J35" i="6"/>
  <c r="I35" i="6"/>
  <c r="H35" i="6"/>
  <c r="AK34" i="6"/>
  <c r="AJ34" i="6"/>
  <c r="AI34" i="6"/>
  <c r="AH34" i="6"/>
  <c r="AG34" i="6"/>
  <c r="AE34" i="6"/>
  <c r="AD34" i="6"/>
  <c r="AB34" i="6"/>
  <c r="AA34" i="6"/>
  <c r="Z34" i="6"/>
  <c r="X34" i="6"/>
  <c r="W34" i="6"/>
  <c r="V34" i="6"/>
  <c r="U34" i="6"/>
  <c r="S34" i="6"/>
  <c r="R34" i="6"/>
  <c r="Q34" i="6"/>
  <c r="P34" i="6"/>
  <c r="O34" i="6"/>
  <c r="M34" i="6"/>
  <c r="L34" i="6"/>
  <c r="K34" i="6"/>
  <c r="J34" i="6"/>
  <c r="I34" i="6"/>
  <c r="H34" i="6"/>
  <c r="G35" i="6"/>
  <c r="G34" i="6"/>
  <c r="AK32" i="6"/>
  <c r="AJ32" i="6"/>
  <c r="AI32" i="6"/>
  <c r="AH32" i="6"/>
  <c r="AG32" i="6"/>
  <c r="AE32" i="6"/>
  <c r="AD32" i="6"/>
  <c r="AB32" i="6"/>
  <c r="AA32" i="6"/>
  <c r="Z32" i="6"/>
  <c r="X32" i="6"/>
  <c r="W32" i="6"/>
  <c r="V32" i="6"/>
  <c r="U32" i="6"/>
  <c r="S32" i="6"/>
  <c r="R32" i="6"/>
  <c r="Q32" i="6"/>
  <c r="P32" i="6"/>
  <c r="O32" i="6"/>
  <c r="M32" i="6"/>
  <c r="L32" i="6"/>
  <c r="K32" i="6"/>
  <c r="J32" i="6"/>
  <c r="I32" i="6"/>
  <c r="H32" i="6"/>
  <c r="AK31" i="6"/>
  <c r="AJ31" i="6"/>
  <c r="AI31" i="6"/>
  <c r="AH31" i="6"/>
  <c r="AG31" i="6"/>
  <c r="AE31" i="6"/>
  <c r="AD31" i="6"/>
  <c r="AB31" i="6"/>
  <c r="AA31" i="6"/>
  <c r="Z31" i="6"/>
  <c r="X31" i="6"/>
  <c r="W31" i="6"/>
  <c r="V31" i="6"/>
  <c r="U31" i="6"/>
  <c r="S31" i="6"/>
  <c r="R31" i="6"/>
  <c r="Q31" i="6"/>
  <c r="P31" i="6"/>
  <c r="O31" i="6"/>
  <c r="M31" i="6"/>
  <c r="L31" i="6"/>
  <c r="K31" i="6"/>
  <c r="J31" i="6"/>
  <c r="I31" i="6"/>
  <c r="H31" i="6"/>
  <c r="G32" i="6"/>
  <c r="G31" i="6"/>
  <c r="AG7" i="6"/>
  <c r="AJ13" i="6"/>
  <c r="AK13" i="6"/>
  <c r="AJ14" i="6"/>
  <c r="AK14" i="6"/>
  <c r="AH20" i="6"/>
  <c r="AI20" i="6"/>
  <c r="AJ20" i="6"/>
  <c r="AK20" i="6"/>
  <c r="AH21" i="6"/>
  <c r="AI21" i="6"/>
  <c r="AJ21" i="6"/>
  <c r="AK21" i="6"/>
  <c r="AH26" i="6"/>
  <c r="AI26" i="6"/>
  <c r="AJ26" i="6"/>
  <c r="AK26" i="6"/>
  <c r="AH27" i="6"/>
  <c r="AI27" i="6"/>
  <c r="AJ27" i="6"/>
  <c r="AK27" i="6"/>
  <c r="AK25" i="6"/>
  <c r="AJ25" i="6"/>
  <c r="AI25" i="6"/>
  <c r="AH25" i="6"/>
  <c r="AG25" i="6"/>
  <c r="AG27" i="6" s="1"/>
  <c r="AK24" i="6"/>
  <c r="AJ24" i="6"/>
  <c r="AI24" i="6"/>
  <c r="AH24" i="6"/>
  <c r="AG24" i="6"/>
  <c r="AK19" i="6"/>
  <c r="AJ19" i="6"/>
  <c r="AI19" i="6"/>
  <c r="AH19" i="6"/>
  <c r="AG19" i="6"/>
  <c r="AK18" i="6"/>
  <c r="AJ18" i="6"/>
  <c r="AI18" i="6"/>
  <c r="AH18" i="6"/>
  <c r="AG18" i="6"/>
  <c r="AK17" i="6"/>
  <c r="AJ17" i="6"/>
  <c r="AI17" i="6"/>
  <c r="AH17" i="6"/>
  <c r="AG17" i="6"/>
  <c r="AK12" i="6"/>
  <c r="AJ12" i="6"/>
  <c r="AI12" i="6"/>
  <c r="AH12" i="6"/>
  <c r="AH13" i="6" s="1"/>
  <c r="AG12" i="6"/>
  <c r="AK7" i="6"/>
  <c r="AJ7" i="6"/>
  <c r="AI7" i="6"/>
  <c r="AH7" i="6"/>
  <c r="AK10" i="6"/>
  <c r="AJ10" i="6"/>
  <c r="AI10" i="6"/>
  <c r="AH10" i="6"/>
  <c r="AG10" i="6"/>
  <c r="AK11" i="6"/>
  <c r="AJ11" i="6"/>
  <c r="AE27" i="6"/>
  <c r="AD27" i="6"/>
  <c r="AE26" i="6"/>
  <c r="AD26" i="6"/>
  <c r="AE21" i="6"/>
  <c r="AD21" i="6"/>
  <c r="AE20" i="6"/>
  <c r="AD20" i="6"/>
  <c r="AG21" i="6"/>
  <c r="AB27" i="6"/>
  <c r="AA27" i="6"/>
  <c r="Z27" i="6"/>
  <c r="X27" i="6"/>
  <c r="W27" i="6"/>
  <c r="V27" i="6"/>
  <c r="U27" i="6"/>
  <c r="S27" i="6"/>
  <c r="R27" i="6"/>
  <c r="Q27" i="6"/>
  <c r="P27" i="6"/>
  <c r="O27" i="6"/>
  <c r="M27" i="6"/>
  <c r="K27" i="6"/>
  <c r="J27" i="6"/>
  <c r="I27" i="6"/>
  <c r="H27" i="6"/>
  <c r="AG26" i="6"/>
  <c r="AB26" i="6"/>
  <c r="AA26" i="6"/>
  <c r="Z26" i="6"/>
  <c r="X26" i="6"/>
  <c r="W26" i="6"/>
  <c r="V26" i="6"/>
  <c r="U26" i="6"/>
  <c r="S26" i="6"/>
  <c r="R26" i="6"/>
  <c r="Q26" i="6"/>
  <c r="P26" i="6"/>
  <c r="O26" i="6"/>
  <c r="M26" i="6"/>
  <c r="L26" i="6"/>
  <c r="K26" i="6"/>
  <c r="J26" i="6"/>
  <c r="I26" i="6"/>
  <c r="H26" i="6"/>
  <c r="G27" i="6"/>
  <c r="G26" i="6"/>
  <c r="AB21" i="6"/>
  <c r="AA21" i="6"/>
  <c r="Z21" i="6"/>
  <c r="X21" i="6"/>
  <c r="W21" i="6"/>
  <c r="V21" i="6"/>
  <c r="U21" i="6"/>
  <c r="S21" i="6"/>
  <c r="R21" i="6"/>
  <c r="Q21" i="6"/>
  <c r="P21" i="6"/>
  <c r="O21" i="6"/>
  <c r="M21" i="6"/>
  <c r="K21" i="6"/>
  <c r="J21" i="6"/>
  <c r="I21" i="6"/>
  <c r="H21" i="6"/>
  <c r="AB20" i="6"/>
  <c r="AA20" i="6"/>
  <c r="Z20" i="6"/>
  <c r="X20" i="6"/>
  <c r="W20" i="6"/>
  <c r="V20" i="6"/>
  <c r="U20" i="6"/>
  <c r="S20" i="6"/>
  <c r="R20" i="6"/>
  <c r="Q20" i="6"/>
  <c r="P20" i="6"/>
  <c r="O20" i="6"/>
  <c r="M20" i="6"/>
  <c r="L20" i="6"/>
  <c r="K20" i="6"/>
  <c r="J20" i="6"/>
  <c r="I20" i="6"/>
  <c r="H20" i="6"/>
  <c r="G21" i="6"/>
  <c r="G20" i="6"/>
  <c r="L19" i="6"/>
  <c r="L21" i="6" s="1"/>
  <c r="AE14" i="6"/>
  <c r="AD14" i="6"/>
  <c r="AE13" i="6"/>
  <c r="AD13" i="6"/>
  <c r="L24" i="6"/>
  <c r="L27" i="6" s="1"/>
  <c r="AI11" i="6"/>
  <c r="AI13" i="6" s="1"/>
  <c r="AH11" i="6"/>
  <c r="AH14" i="6"/>
  <c r="V16" i="12" l="1"/>
  <c r="J12" i="12"/>
  <c r="P12" i="12" s="1"/>
  <c r="J14" i="12"/>
  <c r="P14" i="12" s="1"/>
  <c r="J8" i="12"/>
  <c r="P8" i="12" s="1"/>
  <c r="O39" i="6"/>
  <c r="AJ39" i="6"/>
  <c r="V39" i="6"/>
  <c r="AH39" i="6"/>
  <c r="R39" i="6"/>
  <c r="D39" i="6"/>
  <c r="AB39" i="6"/>
  <c r="M39" i="6"/>
  <c r="AD39" i="6"/>
  <c r="W39" i="6"/>
  <c r="Q39" i="6"/>
  <c r="G39" i="6"/>
  <c r="AG39" i="6"/>
  <c r="E51" i="7" s="1"/>
  <c r="AI39" i="6"/>
  <c r="AA39" i="6"/>
  <c r="S39" i="6"/>
  <c r="K39" i="6"/>
  <c r="AK39" i="6"/>
  <c r="AE39" i="6"/>
  <c r="Z39" i="6"/>
  <c r="U39" i="6"/>
  <c r="P39" i="6"/>
  <c r="I39" i="6"/>
  <c r="H39" i="6"/>
  <c r="J39" i="6"/>
  <c r="AG20" i="6"/>
  <c r="AI14" i="6"/>
  <c r="J16" i="1"/>
  <c r="K16" i="1"/>
  <c r="L16" i="1"/>
  <c r="M16" i="1"/>
  <c r="I16" i="1"/>
  <c r="M10" i="1"/>
  <c r="L10" i="1"/>
  <c r="K10" i="1"/>
  <c r="J10" i="1"/>
  <c r="I10" i="1"/>
  <c r="C16" i="3"/>
  <c r="D16" i="3"/>
  <c r="F16" i="3"/>
  <c r="G16" i="3"/>
  <c r="E16" i="3"/>
  <c r="D12" i="3"/>
  <c r="E12" i="3"/>
  <c r="F12" i="3"/>
  <c r="G12" i="3"/>
  <c r="C12" i="3"/>
  <c r="D19" i="3"/>
  <c r="E19" i="3"/>
  <c r="F19" i="3"/>
  <c r="G19" i="3"/>
  <c r="C19" i="3"/>
  <c r="D15" i="3"/>
  <c r="E15" i="3"/>
  <c r="F15" i="3"/>
  <c r="G15" i="3"/>
  <c r="C15" i="3"/>
  <c r="D11" i="3"/>
  <c r="E11" i="3"/>
  <c r="F11" i="3"/>
  <c r="G11" i="3"/>
  <c r="C11" i="3"/>
  <c r="D76" i="3"/>
  <c r="E76" i="3"/>
  <c r="F76" i="3"/>
  <c r="G76" i="3"/>
  <c r="C76" i="3"/>
  <c r="D73" i="3"/>
  <c r="E73" i="3"/>
  <c r="F73" i="3"/>
  <c r="G73" i="3"/>
  <c r="C73" i="3"/>
  <c r="D66" i="3"/>
  <c r="E66" i="3"/>
  <c r="F66" i="3"/>
  <c r="G66" i="3"/>
  <c r="C66" i="3"/>
  <c r="G63" i="3"/>
  <c r="F63" i="3"/>
  <c r="E63" i="3"/>
  <c r="D63" i="3"/>
  <c r="C63" i="3"/>
  <c r="D59" i="3"/>
  <c r="E59" i="3"/>
  <c r="F59" i="3"/>
  <c r="G59" i="3"/>
  <c r="C59" i="3"/>
  <c r="D60" i="3"/>
  <c r="E60" i="3"/>
  <c r="F60" i="3"/>
  <c r="G60" i="3"/>
  <c r="C60" i="3"/>
  <c r="D49" i="3"/>
  <c r="E49" i="3"/>
  <c r="F49" i="3"/>
  <c r="G49" i="3"/>
  <c r="C49" i="3"/>
  <c r="D46" i="3"/>
  <c r="E46" i="3"/>
  <c r="F46" i="3"/>
  <c r="G46" i="3"/>
  <c r="C46" i="3"/>
  <c r="D43" i="3"/>
  <c r="E43" i="3"/>
  <c r="F43" i="3"/>
  <c r="G43" i="3"/>
  <c r="C43" i="3"/>
  <c r="D24" i="3"/>
  <c r="E24" i="3"/>
  <c r="F24" i="3"/>
  <c r="G24" i="3"/>
  <c r="C24" i="3"/>
  <c r="G27" i="3"/>
  <c r="F27" i="3"/>
  <c r="E27" i="3"/>
  <c r="D27" i="3"/>
  <c r="C27" i="3"/>
  <c r="D32" i="3"/>
  <c r="E32" i="3"/>
  <c r="F32" i="3"/>
  <c r="G32" i="3"/>
  <c r="C32" i="3"/>
  <c r="C73" i="4"/>
  <c r="I33" i="8"/>
  <c r="J33" i="8" s="1"/>
  <c r="K33" i="8" s="1"/>
  <c r="L33" i="8" s="1"/>
  <c r="M33" i="8" s="1"/>
  <c r="I31" i="8"/>
  <c r="J31" i="8" s="1"/>
  <c r="K31" i="8" s="1"/>
  <c r="L31" i="8" s="1"/>
  <c r="M31" i="8" s="1"/>
  <c r="I29" i="8"/>
  <c r="I23" i="8"/>
  <c r="J23" i="8" s="1"/>
  <c r="K23" i="8" s="1"/>
  <c r="L23" i="8" s="1"/>
  <c r="M23" i="8" s="1"/>
  <c r="I21" i="8"/>
  <c r="J21" i="8" s="1"/>
  <c r="K21" i="8" s="1"/>
  <c r="L21" i="8" s="1"/>
  <c r="M21" i="8" s="1"/>
  <c r="I19" i="8"/>
  <c r="J19" i="8" s="1"/>
  <c r="K19" i="8" s="1"/>
  <c r="L19" i="8" s="1"/>
  <c r="M19" i="8" s="1"/>
  <c r="I13" i="8"/>
  <c r="J13" i="8" s="1"/>
  <c r="K13" i="8" s="1"/>
  <c r="L13" i="8" s="1"/>
  <c r="M13" i="8" s="1"/>
  <c r="I11" i="8"/>
  <c r="J11" i="8" s="1"/>
  <c r="K11" i="8" s="1"/>
  <c r="L11" i="8" s="1"/>
  <c r="M11" i="8" s="1"/>
  <c r="I9" i="8"/>
  <c r="J9" i="8" s="1"/>
  <c r="K9" i="8" s="1"/>
  <c r="L9" i="8" s="1"/>
  <c r="M9" i="8" s="1"/>
  <c r="J44" i="2"/>
  <c r="K44" i="2"/>
  <c r="L44" i="2"/>
  <c r="M44" i="2"/>
  <c r="I44" i="2"/>
  <c r="I43" i="2" s="1"/>
  <c r="J41" i="2"/>
  <c r="K41" i="2"/>
  <c r="L41" i="2"/>
  <c r="M41" i="2"/>
  <c r="I41" i="2"/>
  <c r="J38" i="2"/>
  <c r="K38" i="2"/>
  <c r="L38" i="2"/>
  <c r="M38" i="2"/>
  <c r="I38" i="2"/>
  <c r="J29" i="2"/>
  <c r="K29" i="2"/>
  <c r="L29" i="2"/>
  <c r="M29" i="2"/>
  <c r="I29" i="2"/>
  <c r="I28" i="2" s="1"/>
  <c r="J28" i="2" s="1"/>
  <c r="J26" i="2"/>
  <c r="K26" i="2"/>
  <c r="L26" i="2"/>
  <c r="M26" i="2"/>
  <c r="I26" i="2"/>
  <c r="I25" i="2" s="1"/>
  <c r="J25" i="2" s="1"/>
  <c r="J23" i="2"/>
  <c r="K23" i="2"/>
  <c r="L23" i="2"/>
  <c r="M23" i="2"/>
  <c r="I23" i="2"/>
  <c r="I22" i="2" s="1"/>
  <c r="J14" i="2"/>
  <c r="K14" i="2"/>
  <c r="L14" i="2"/>
  <c r="M14" i="2"/>
  <c r="I14" i="2"/>
  <c r="I13" i="2" s="1"/>
  <c r="J11" i="2"/>
  <c r="K11" i="2"/>
  <c r="L11" i="2"/>
  <c r="M11" i="2"/>
  <c r="I11" i="2"/>
  <c r="I10" i="2" s="1"/>
  <c r="J10" i="2" s="1"/>
  <c r="K10" i="2" s="1"/>
  <c r="L10" i="2" s="1"/>
  <c r="M10" i="2" s="1"/>
  <c r="I8" i="2"/>
  <c r="I7" i="2" s="1"/>
  <c r="J7" i="2" s="1"/>
  <c r="K7" i="2" s="1"/>
  <c r="L7" i="2" s="1"/>
  <c r="M7" i="2" s="1"/>
  <c r="G35" i="7"/>
  <c r="H35" i="7"/>
  <c r="I35" i="7"/>
  <c r="F35" i="7"/>
  <c r="E16" i="7"/>
  <c r="F16" i="7"/>
  <c r="G16" i="7"/>
  <c r="H16" i="7"/>
  <c r="I16" i="7"/>
  <c r="F6" i="5"/>
  <c r="K69" i="7"/>
  <c r="K68" i="7"/>
  <c r="J29" i="8"/>
  <c r="K29" i="8" s="1"/>
  <c r="L29" i="8" s="1"/>
  <c r="M29" i="8" s="1"/>
  <c r="K53" i="7"/>
  <c r="AG11" i="6"/>
  <c r="M86" i="3"/>
  <c r="L86" i="3"/>
  <c r="K86" i="3"/>
  <c r="J86" i="3"/>
  <c r="I86" i="3"/>
  <c r="C46" i="2"/>
  <c r="G44" i="2"/>
  <c r="F44" i="2"/>
  <c r="E44" i="2"/>
  <c r="D44" i="2"/>
  <c r="G41" i="2"/>
  <c r="F41" i="2"/>
  <c r="E41" i="2"/>
  <c r="D41" i="2"/>
  <c r="I40" i="2"/>
  <c r="G38" i="2"/>
  <c r="F38" i="2"/>
  <c r="E38" i="2"/>
  <c r="D38" i="2"/>
  <c r="I37" i="2"/>
  <c r="C16" i="2"/>
  <c r="G14" i="2"/>
  <c r="F14" i="2"/>
  <c r="E14" i="2"/>
  <c r="D14" i="2"/>
  <c r="G11" i="2"/>
  <c r="G16" i="2" s="1"/>
  <c r="F11" i="2"/>
  <c r="F16" i="2" s="1"/>
  <c r="E11" i="2"/>
  <c r="E16" i="2" s="1"/>
  <c r="D11" i="2"/>
  <c r="D16" i="2" s="1"/>
  <c r="D17" i="2" s="1"/>
  <c r="G8" i="2"/>
  <c r="F8" i="2"/>
  <c r="E8" i="2"/>
  <c r="D8" i="2"/>
  <c r="D23" i="2"/>
  <c r="E23" i="2"/>
  <c r="F23" i="2"/>
  <c r="G23" i="2"/>
  <c r="D26" i="2"/>
  <c r="E26" i="2"/>
  <c r="F26" i="2"/>
  <c r="G26" i="2"/>
  <c r="D29" i="2"/>
  <c r="E29" i="2"/>
  <c r="F29" i="2"/>
  <c r="G29" i="2"/>
  <c r="K52" i="7"/>
  <c r="K28" i="2" l="1"/>
  <c r="L28" i="2" s="1"/>
  <c r="M28" i="2" s="1"/>
  <c r="K25" i="2"/>
  <c r="L25" i="2" s="1"/>
  <c r="M25" i="2" s="1"/>
  <c r="J40" i="2"/>
  <c r="K40" i="2" s="1"/>
  <c r="L40" i="2" s="1"/>
  <c r="M40" i="2" s="1"/>
  <c r="J37" i="2"/>
  <c r="K37" i="2" s="1"/>
  <c r="L37" i="2" s="1"/>
  <c r="M37" i="2" s="1"/>
  <c r="J22" i="2"/>
  <c r="K22" i="2" s="1"/>
  <c r="L22" i="2" s="1"/>
  <c r="M22" i="2" s="1"/>
  <c r="AG14" i="6"/>
  <c r="AG13" i="6"/>
  <c r="I16" i="2"/>
  <c r="I17" i="2" s="1"/>
  <c r="D46" i="2"/>
  <c r="D47" i="2" s="1"/>
  <c r="E46" i="2"/>
  <c r="F46" i="2"/>
  <c r="G46" i="2"/>
  <c r="I46" i="2"/>
  <c r="I47" i="2" s="1"/>
  <c r="E47" i="2"/>
  <c r="F47" i="2"/>
  <c r="G47" i="2"/>
  <c r="J43" i="2"/>
  <c r="E17" i="2"/>
  <c r="F17" i="2"/>
  <c r="G17" i="2"/>
  <c r="J13" i="2"/>
  <c r="J46" i="2" l="1"/>
  <c r="J47" i="2" s="1"/>
  <c r="K43" i="2"/>
  <c r="K13" i="2"/>
  <c r="J16" i="2"/>
  <c r="J17" i="2" s="1"/>
  <c r="L43" i="2" l="1"/>
  <c r="K46" i="2"/>
  <c r="K47" i="2" s="1"/>
  <c r="K16" i="2"/>
  <c r="K17" i="2" s="1"/>
  <c r="L13" i="2"/>
  <c r="L46" i="2" l="1"/>
  <c r="L47" i="2" s="1"/>
  <c r="M43" i="2"/>
  <c r="M46" i="2" s="1"/>
  <c r="L16" i="2"/>
  <c r="L17" i="2" s="1"/>
  <c r="M13" i="2"/>
  <c r="M16" i="2" s="1"/>
  <c r="M47" i="2" l="1"/>
  <c r="M17" i="2"/>
  <c r="L15" i="10" l="1"/>
  <c r="M15" i="10"/>
  <c r="N15" i="10"/>
  <c r="O15" i="10"/>
  <c r="P15" i="10"/>
  <c r="L28" i="7"/>
  <c r="M28" i="7" s="1"/>
  <c r="N28" i="7" s="1"/>
  <c r="L31" i="7"/>
  <c r="M31" i="7" s="1"/>
  <c r="J51" i="8"/>
  <c r="L20" i="7" s="1"/>
  <c r="K51" i="8"/>
  <c r="M20" i="7" s="1"/>
  <c r="L51" i="8"/>
  <c r="N20" i="7" s="1"/>
  <c r="M51" i="8"/>
  <c r="O20" i="7" s="1"/>
  <c r="I51" i="8"/>
  <c r="J41" i="8"/>
  <c r="L14" i="7" s="1"/>
  <c r="K41" i="8"/>
  <c r="M14" i="7" s="1"/>
  <c r="L41" i="8"/>
  <c r="M41" i="8"/>
  <c r="O14" i="7" s="1"/>
  <c r="I41" i="8"/>
  <c r="J27" i="8"/>
  <c r="K27" i="8"/>
  <c r="L27" i="8"/>
  <c r="M27" i="8"/>
  <c r="J17" i="8"/>
  <c r="K17" i="8"/>
  <c r="L17" i="8"/>
  <c r="M17" i="8"/>
  <c r="J6" i="8"/>
  <c r="K6" i="8"/>
  <c r="L6" i="8"/>
  <c r="J7" i="8"/>
  <c r="K7" i="8"/>
  <c r="L7" i="8"/>
  <c r="M7" i="8"/>
  <c r="I27" i="8"/>
  <c r="I17" i="8"/>
  <c r="I7" i="8"/>
  <c r="N31" i="7" l="1"/>
  <c r="N14" i="7"/>
  <c r="K20" i="7"/>
  <c r="K14" i="7"/>
  <c r="T6" i="5" l="1"/>
  <c r="F15" i="10"/>
  <c r="G7" i="10"/>
  <c r="H7" i="10"/>
  <c r="I7" i="10"/>
  <c r="J7" i="10"/>
  <c r="G8" i="10"/>
  <c r="H8" i="10"/>
  <c r="I8" i="10"/>
  <c r="J8" i="10"/>
  <c r="G9" i="10"/>
  <c r="H9" i="10"/>
  <c r="I9" i="10"/>
  <c r="J9" i="10"/>
  <c r="G13" i="10"/>
  <c r="H13" i="10"/>
  <c r="I13" i="10"/>
  <c r="J13" i="10"/>
  <c r="G14" i="10"/>
  <c r="H14" i="10"/>
  <c r="I14" i="10"/>
  <c r="J14" i="10"/>
  <c r="G15" i="10"/>
  <c r="H15" i="10"/>
  <c r="I15" i="10"/>
  <c r="J15" i="10"/>
  <c r="F14" i="10"/>
  <c r="F13" i="10"/>
  <c r="F9" i="10"/>
  <c r="F8" i="10"/>
  <c r="F7" i="10"/>
  <c r="F10" i="10" s="1"/>
  <c r="E51" i="8"/>
  <c r="F51" i="8"/>
  <c r="G51" i="8"/>
  <c r="D51" i="8"/>
  <c r="E41" i="8"/>
  <c r="F41" i="8"/>
  <c r="G41" i="8"/>
  <c r="D41" i="8"/>
  <c r="J26" i="8"/>
  <c r="K26" i="8"/>
  <c r="L26" i="8"/>
  <c r="J16" i="8"/>
  <c r="K16" i="8"/>
  <c r="L16" i="8"/>
  <c r="I26" i="8"/>
  <c r="I16" i="8"/>
  <c r="D50" i="8"/>
  <c r="E50" i="8"/>
  <c r="F50" i="8"/>
  <c r="G50" i="8"/>
  <c r="C50" i="8"/>
  <c r="D40" i="8"/>
  <c r="E40" i="8"/>
  <c r="F40" i="8"/>
  <c r="G40" i="8"/>
  <c r="C40" i="8"/>
  <c r="D36" i="8"/>
  <c r="E36" i="8"/>
  <c r="E37" i="8" s="1"/>
  <c r="F36" i="8"/>
  <c r="G36" i="8"/>
  <c r="G37" i="8" s="1"/>
  <c r="C36" i="8"/>
  <c r="G27" i="8"/>
  <c r="F27" i="8"/>
  <c r="E27" i="8"/>
  <c r="D27" i="8"/>
  <c r="G17" i="8"/>
  <c r="F17" i="8"/>
  <c r="E17" i="8"/>
  <c r="D17" i="8"/>
  <c r="G7" i="8"/>
  <c r="F7" i="8"/>
  <c r="E7" i="8"/>
  <c r="D7" i="8"/>
  <c r="F25" i="7"/>
  <c r="G25" i="7"/>
  <c r="H25" i="7"/>
  <c r="I25" i="7"/>
  <c r="E25" i="7"/>
  <c r="F19" i="7"/>
  <c r="G19" i="7"/>
  <c r="H19" i="7"/>
  <c r="I19" i="7"/>
  <c r="E19" i="7"/>
  <c r="M84" i="3"/>
  <c r="L84" i="3"/>
  <c r="K84" i="3"/>
  <c r="J84" i="3"/>
  <c r="I84" i="3"/>
  <c r="L17" i="5"/>
  <c r="I10" i="10" l="1"/>
  <c r="G10" i="10"/>
  <c r="J10" i="10"/>
  <c r="M26" i="8"/>
  <c r="M16" i="8"/>
  <c r="E20" i="7"/>
  <c r="I31" i="7"/>
  <c r="E14" i="7"/>
  <c r="I14" i="7"/>
  <c r="H14" i="7"/>
  <c r="F20" i="7"/>
  <c r="E31" i="7"/>
  <c r="G14" i="7"/>
  <c r="F14" i="7"/>
  <c r="E17" i="7"/>
  <c r="G20" i="7"/>
  <c r="G17" i="7"/>
  <c r="H31" i="7"/>
  <c r="I20" i="7"/>
  <c r="F17" i="7"/>
  <c r="G31" i="7"/>
  <c r="F31" i="7"/>
  <c r="H20" i="7"/>
  <c r="F11" i="7"/>
  <c r="I11" i="7"/>
  <c r="H11" i="7"/>
  <c r="G11" i="7"/>
  <c r="H17" i="7"/>
  <c r="F16" i="10"/>
  <c r="F19" i="10" s="1"/>
  <c r="F20" i="10" s="1"/>
  <c r="G16" i="10"/>
  <c r="G19" i="10"/>
  <c r="G20" i="10" s="1"/>
  <c r="F34" i="7" s="1"/>
  <c r="J16" i="10"/>
  <c r="J19" i="10" s="1"/>
  <c r="J20" i="10" s="1"/>
  <c r="I16" i="10"/>
  <c r="I19" i="10" s="1"/>
  <c r="I20" i="10" s="1"/>
  <c r="H16" i="10"/>
  <c r="H10" i="10"/>
  <c r="H19" i="10" s="1"/>
  <c r="H20" i="10" s="1"/>
  <c r="L36" i="8"/>
  <c r="K36" i="8"/>
  <c r="J36" i="8"/>
  <c r="F37" i="8"/>
  <c r="D37" i="8"/>
  <c r="L10" i="7" l="1"/>
  <c r="J53" i="8"/>
  <c r="J57" i="8"/>
  <c r="J45" i="8"/>
  <c r="J55" i="8"/>
  <c r="J47" i="8"/>
  <c r="J43" i="8"/>
  <c r="K55" i="8"/>
  <c r="K43" i="8"/>
  <c r="K45" i="8"/>
  <c r="K53" i="8"/>
  <c r="K47" i="8"/>
  <c r="K57" i="8"/>
  <c r="N10" i="7"/>
  <c r="L57" i="8"/>
  <c r="L45" i="8"/>
  <c r="L53" i="8"/>
  <c r="L55" i="8"/>
  <c r="L43" i="8"/>
  <c r="L47" i="8"/>
  <c r="K50" i="8"/>
  <c r="M19" i="7" s="1"/>
  <c r="M10" i="7"/>
  <c r="F22" i="7"/>
  <c r="F23" i="7" s="1"/>
  <c r="G22" i="7"/>
  <c r="G23" i="7" s="1"/>
  <c r="H22" i="7"/>
  <c r="H23" i="7" s="1"/>
  <c r="K40" i="8"/>
  <c r="M13" i="7" s="1"/>
  <c r="E22" i="7"/>
  <c r="E23" i="7" s="1"/>
  <c r="L37" i="8"/>
  <c r="N11" i="7" s="1"/>
  <c r="L40" i="8"/>
  <c r="N13" i="7" s="1"/>
  <c r="L50" i="8"/>
  <c r="N19" i="7" s="1"/>
  <c r="J50" i="8"/>
  <c r="L19" i="7" s="1"/>
  <c r="I22" i="7"/>
  <c r="I17" i="7"/>
  <c r="H34" i="7"/>
  <c r="I34" i="7"/>
  <c r="J22" i="10"/>
  <c r="H22" i="10"/>
  <c r="G34" i="7"/>
  <c r="E34" i="7"/>
  <c r="G22" i="10"/>
  <c r="I22" i="10"/>
  <c r="J40" i="8"/>
  <c r="L13" i="7" s="1"/>
  <c r="K37" i="8"/>
  <c r="M11" i="7" s="1"/>
  <c r="R6" i="5"/>
  <c r="S6" i="5"/>
  <c r="U6" i="5"/>
  <c r="U15" i="5" s="1"/>
  <c r="L7" i="5"/>
  <c r="L6" i="5"/>
  <c r="F8" i="5"/>
  <c r="F7" i="5"/>
  <c r="N8" i="5"/>
  <c r="N7" i="5"/>
  <c r="N6" i="5"/>
  <c r="AA14" i="6"/>
  <c r="AB14" i="6"/>
  <c r="Z14" i="6"/>
  <c r="AA13" i="6"/>
  <c r="AB13" i="6"/>
  <c r="Z13" i="6"/>
  <c r="M14" i="6"/>
  <c r="G14" i="6"/>
  <c r="G13" i="6"/>
  <c r="L16" i="7" l="1"/>
  <c r="L17" i="7" s="1"/>
  <c r="N16" i="7"/>
  <c r="N17" i="7" s="1"/>
  <c r="K50" i="7"/>
  <c r="K66" i="7"/>
  <c r="I23" i="7"/>
  <c r="L12" i="5"/>
  <c r="F17" i="5" s="1"/>
  <c r="M16" i="7"/>
  <c r="M17" i="7" s="1"/>
  <c r="L22" i="7" l="1"/>
  <c r="L23" i="7" s="1"/>
  <c r="N22" i="7"/>
  <c r="N23" i="7" s="1"/>
  <c r="Q20" i="5"/>
  <c r="P20" i="5" s="1"/>
  <c r="S20" i="5"/>
  <c r="T20" i="5" s="1"/>
  <c r="M22" i="7"/>
  <c r="F12" i="5"/>
  <c r="F11" i="5"/>
  <c r="F10" i="5"/>
  <c r="K14" i="6"/>
  <c r="I14" i="6"/>
  <c r="I13" i="6"/>
  <c r="P14" i="6"/>
  <c r="S14" i="6"/>
  <c r="H14" i="6"/>
  <c r="H13" i="6"/>
  <c r="J14" i="6"/>
  <c r="R14" i="6"/>
  <c r="Q14" i="6"/>
  <c r="O14" i="6"/>
  <c r="M23" i="7" l="1"/>
  <c r="Q6" i="5"/>
  <c r="F15" i="5"/>
  <c r="U14" i="6"/>
  <c r="U13" i="6"/>
  <c r="V14" i="6"/>
  <c r="V13" i="6"/>
  <c r="L14" i="6"/>
  <c r="X13" i="6"/>
  <c r="X14" i="6"/>
  <c r="W14" i="6"/>
  <c r="W13" i="6"/>
  <c r="F16" i="5" l="1"/>
  <c r="V6" i="5"/>
  <c r="S15" i="5" s="1"/>
  <c r="V15" i="5" s="1"/>
  <c r="L19" i="5" s="1"/>
  <c r="L21" i="5" s="1"/>
  <c r="F18" i="5" s="1"/>
  <c r="O24" i="5" l="1"/>
  <c r="O25" i="5" s="1"/>
  <c r="O22" i="5"/>
  <c r="O21" i="5" s="1"/>
  <c r="F21" i="5"/>
  <c r="C18" i="5"/>
  <c r="C17" i="5"/>
  <c r="J19" i="4"/>
  <c r="K19" i="4"/>
  <c r="L19" i="4"/>
  <c r="M19" i="4"/>
  <c r="I19" i="4"/>
  <c r="C19" i="4"/>
  <c r="D19" i="4"/>
  <c r="E19" i="4"/>
  <c r="F19" i="4"/>
  <c r="G19" i="4"/>
  <c r="D15" i="4"/>
  <c r="E15" i="4"/>
  <c r="F15" i="4"/>
  <c r="G15" i="4"/>
  <c r="C15" i="4"/>
  <c r="D12" i="4"/>
  <c r="E12" i="4"/>
  <c r="F12" i="4"/>
  <c r="G12" i="4"/>
  <c r="C12" i="4"/>
  <c r="D71" i="4"/>
  <c r="G67" i="4"/>
  <c r="F67" i="4"/>
  <c r="E67" i="4"/>
  <c r="C67" i="4"/>
  <c r="D65" i="4"/>
  <c r="D67" i="4" s="1"/>
  <c r="C51" i="4"/>
  <c r="D51" i="4"/>
  <c r="E51" i="4"/>
  <c r="F51" i="4"/>
  <c r="G51" i="4"/>
  <c r="G90" i="3"/>
  <c r="J70" i="3"/>
  <c r="K70" i="3"/>
  <c r="L70" i="3"/>
  <c r="M70" i="3"/>
  <c r="I70" i="3"/>
  <c r="J56" i="3"/>
  <c r="K56" i="3"/>
  <c r="L56" i="3"/>
  <c r="M56" i="3"/>
  <c r="I56" i="3"/>
  <c r="I36" i="3"/>
  <c r="J36" i="3" s="1"/>
  <c r="K36" i="3" s="1"/>
  <c r="L36" i="3" s="1"/>
  <c r="M36" i="3" s="1"/>
  <c r="D21" i="3"/>
  <c r="E21" i="3"/>
  <c r="F21" i="3"/>
  <c r="G21" i="3"/>
  <c r="C21" i="3"/>
  <c r="C51" i="3" s="1"/>
  <c r="F90" i="3"/>
  <c r="F92" i="3" s="1"/>
  <c r="E90" i="3"/>
  <c r="E92" i="3" s="1"/>
  <c r="D90" i="3"/>
  <c r="C90" i="3"/>
  <c r="C78" i="3"/>
  <c r="D75" i="3"/>
  <c r="M63" i="3"/>
  <c r="K46" i="3"/>
  <c r="K43" i="3"/>
  <c r="D40" i="3"/>
  <c r="E40" i="3" s="1"/>
  <c r="C38" i="3"/>
  <c r="G31" i="3"/>
  <c r="F31" i="3"/>
  <c r="E31" i="3"/>
  <c r="E9" i="4" s="1"/>
  <c r="D31" i="3"/>
  <c r="D29" i="3" s="1"/>
  <c r="C31" i="3"/>
  <c r="J19" i="3"/>
  <c r="G8" i="3"/>
  <c r="F8" i="3"/>
  <c r="E8" i="3"/>
  <c r="D8" i="3"/>
  <c r="C31" i="2"/>
  <c r="M19" i="1"/>
  <c r="D28" i="1"/>
  <c r="E28" i="1"/>
  <c r="F28" i="1"/>
  <c r="G28" i="1"/>
  <c r="C28" i="1"/>
  <c r="D25" i="1"/>
  <c r="E25" i="1"/>
  <c r="M25" i="1" s="1"/>
  <c r="F25" i="1"/>
  <c r="G25" i="1"/>
  <c r="L25" i="1" s="1"/>
  <c r="C25" i="1"/>
  <c r="D19" i="1"/>
  <c r="E19" i="1"/>
  <c r="F19" i="1"/>
  <c r="K19" i="1" s="1"/>
  <c r="G19" i="1"/>
  <c r="C19" i="1"/>
  <c r="D16" i="1"/>
  <c r="E16" i="1"/>
  <c r="F16" i="1"/>
  <c r="G16" i="1"/>
  <c r="C16" i="1"/>
  <c r="D12" i="1"/>
  <c r="D13" i="1" s="1"/>
  <c r="E12" i="1"/>
  <c r="E21" i="1" s="1"/>
  <c r="F12" i="1"/>
  <c r="F21" i="1" s="1"/>
  <c r="F30" i="1" s="1"/>
  <c r="F36" i="1" s="1"/>
  <c r="G12" i="1"/>
  <c r="G13" i="1" s="1"/>
  <c r="C12" i="1"/>
  <c r="C13" i="1" s="1"/>
  <c r="D10" i="1"/>
  <c r="E10" i="1"/>
  <c r="F10" i="1"/>
  <c r="G10" i="1"/>
  <c r="C10" i="1"/>
  <c r="E7" i="1"/>
  <c r="F7" i="1"/>
  <c r="G7" i="1"/>
  <c r="D7" i="1"/>
  <c r="F40" i="7" l="1"/>
  <c r="P50" i="7" s="1"/>
  <c r="O20" i="5"/>
  <c r="I60" i="3"/>
  <c r="G28" i="7"/>
  <c r="G38" i="7"/>
  <c r="F31" i="2"/>
  <c r="G32" i="2" s="1"/>
  <c r="G31" i="2"/>
  <c r="J76" i="3"/>
  <c r="I27" i="3"/>
  <c r="L43" i="3"/>
  <c r="L12" i="4"/>
  <c r="L46" i="3"/>
  <c r="J25" i="1"/>
  <c r="I19" i="1"/>
  <c r="K60" i="3"/>
  <c r="G92" i="3"/>
  <c r="K24" i="3"/>
  <c r="D9" i="4"/>
  <c r="F36" i="4"/>
  <c r="L19" i="1"/>
  <c r="M60" i="3"/>
  <c r="K25" i="1"/>
  <c r="J19" i="1"/>
  <c r="F6" i="4"/>
  <c r="F38" i="4" s="1"/>
  <c r="F69" i="4" s="1"/>
  <c r="F37" i="1"/>
  <c r="I25" i="1"/>
  <c r="D21" i="1"/>
  <c r="J43" i="3"/>
  <c r="L76" i="3"/>
  <c r="M24" i="3"/>
  <c r="I46" i="3"/>
  <c r="I43" i="3"/>
  <c r="J60" i="3"/>
  <c r="L63" i="3"/>
  <c r="K16" i="3"/>
  <c r="M43" i="3"/>
  <c r="J46" i="3"/>
  <c r="K63" i="3"/>
  <c r="F9" i="4"/>
  <c r="M76" i="3"/>
  <c r="I24" i="3"/>
  <c r="J24" i="3"/>
  <c r="G9" i="4"/>
  <c r="J63" i="3"/>
  <c r="I76" i="3"/>
  <c r="K76" i="3"/>
  <c r="L24" i="3"/>
  <c r="M46" i="3"/>
  <c r="L60" i="3"/>
  <c r="I63" i="3"/>
  <c r="C9" i="4"/>
  <c r="E28" i="7" s="1"/>
  <c r="K12" i="4"/>
  <c r="J15" i="4"/>
  <c r="J12" i="4"/>
  <c r="I12" i="4"/>
  <c r="M12" i="4"/>
  <c r="K15" i="4"/>
  <c r="D31" i="2"/>
  <c r="D32" i="2" s="1"/>
  <c r="E31" i="2"/>
  <c r="E32" i="2" s="1"/>
  <c r="I15" i="4"/>
  <c r="M15" i="4"/>
  <c r="L15" i="4"/>
  <c r="J12" i="3"/>
  <c r="M12" i="3"/>
  <c r="J16" i="3"/>
  <c r="I12" i="3"/>
  <c r="L12" i="3"/>
  <c r="K12" i="3"/>
  <c r="I16" i="3"/>
  <c r="M16" i="3"/>
  <c r="L16" i="3"/>
  <c r="I19" i="3"/>
  <c r="M19" i="3"/>
  <c r="L19" i="3"/>
  <c r="K19" i="3"/>
  <c r="D78" i="3"/>
  <c r="D92" i="3" s="1"/>
  <c r="F51" i="3"/>
  <c r="F93" i="3" s="1"/>
  <c r="D51" i="3"/>
  <c r="K49" i="3"/>
  <c r="G51" i="3"/>
  <c r="E51" i="3"/>
  <c r="E93" i="3" s="1"/>
  <c r="D38" i="3"/>
  <c r="C92" i="3"/>
  <c r="C93" i="3" s="1"/>
  <c r="E29" i="3"/>
  <c r="F29" i="3" s="1"/>
  <c r="G29" i="3" s="1"/>
  <c r="F40" i="3"/>
  <c r="E38" i="3"/>
  <c r="I32" i="3"/>
  <c r="I31" i="2"/>
  <c r="I32" i="2" s="1"/>
  <c r="J31" i="2"/>
  <c r="E22" i="1"/>
  <c r="E30" i="1"/>
  <c r="F13" i="1"/>
  <c r="E13" i="1"/>
  <c r="C21" i="1"/>
  <c r="C30" i="1" s="1"/>
  <c r="G21" i="1"/>
  <c r="G30" i="1" s="1"/>
  <c r="F34" i="1"/>
  <c r="F31" i="1"/>
  <c r="F22" i="1"/>
  <c r="P67" i="7" l="1"/>
  <c r="C7" i="11"/>
  <c r="C10" i="11" s="1"/>
  <c r="N41" i="7"/>
  <c r="K41" i="7"/>
  <c r="L41" i="7"/>
  <c r="O41" i="7"/>
  <c r="E53" i="7" s="1"/>
  <c r="M41" i="7"/>
  <c r="E68" i="7"/>
  <c r="P57" i="7"/>
  <c r="P73" i="7"/>
  <c r="I49" i="3"/>
  <c r="I28" i="7"/>
  <c r="I38" i="7"/>
  <c r="H28" i="7"/>
  <c r="H38" i="7"/>
  <c r="F28" i="7"/>
  <c r="F38" i="7"/>
  <c r="F32" i="2"/>
  <c r="G93" i="3"/>
  <c r="J32" i="2"/>
  <c r="J7" i="1" s="1"/>
  <c r="C36" i="1"/>
  <c r="C36" i="4"/>
  <c r="D22" i="1"/>
  <c r="D30" i="1"/>
  <c r="D31" i="1" s="1"/>
  <c r="E34" i="1"/>
  <c r="E36" i="1"/>
  <c r="E36" i="4"/>
  <c r="C31" i="1"/>
  <c r="C34" i="1"/>
  <c r="G34" i="1"/>
  <c r="G36" i="4"/>
  <c r="G36" i="1"/>
  <c r="L49" i="3"/>
  <c r="M49" i="3"/>
  <c r="D93" i="3"/>
  <c r="J49" i="3"/>
  <c r="G40" i="3"/>
  <c r="G38" i="3" s="1"/>
  <c r="F38" i="3"/>
  <c r="M31" i="2"/>
  <c r="L31" i="2"/>
  <c r="K31" i="2"/>
  <c r="K32" i="2" s="1"/>
  <c r="I7" i="1"/>
  <c r="I6" i="1" s="1"/>
  <c r="I10" i="3" s="1"/>
  <c r="L7" i="10" s="1"/>
  <c r="E31" i="1"/>
  <c r="G31" i="1"/>
  <c r="G22" i="1"/>
  <c r="C22" i="1"/>
  <c r="J6" i="1" l="1"/>
  <c r="J72" i="3" s="1"/>
  <c r="J10" i="3"/>
  <c r="M7" i="10" s="1"/>
  <c r="G32" i="11"/>
  <c r="C21" i="11"/>
  <c r="L10" i="11"/>
  <c r="L21" i="11"/>
  <c r="C9" i="11"/>
  <c r="C11" i="11"/>
  <c r="E71" i="7"/>
  <c r="L32" i="2"/>
  <c r="L7" i="1" s="1"/>
  <c r="M32" i="2"/>
  <c r="M7" i="1" s="1"/>
  <c r="C37" i="1"/>
  <c r="C6" i="4"/>
  <c r="C38" i="4" s="1"/>
  <c r="C69" i="4" s="1"/>
  <c r="E37" i="1"/>
  <c r="E6" i="4"/>
  <c r="E38" i="4" s="1"/>
  <c r="E69" i="4" s="1"/>
  <c r="D36" i="1"/>
  <c r="D36" i="4"/>
  <c r="D34" i="1"/>
  <c r="L36" i="4"/>
  <c r="J36" i="4"/>
  <c r="I36" i="4"/>
  <c r="K36" i="4"/>
  <c r="M36" i="4"/>
  <c r="G37" i="1"/>
  <c r="G6" i="4"/>
  <c r="G38" i="4" s="1"/>
  <c r="G69" i="4" s="1"/>
  <c r="I11" i="3"/>
  <c r="I27" i="4"/>
  <c r="J18" i="3"/>
  <c r="M9" i="10" s="1"/>
  <c r="J26" i="3"/>
  <c r="I14" i="3"/>
  <c r="L8" i="10" s="1"/>
  <c r="I42" i="3"/>
  <c r="I40" i="3" s="1"/>
  <c r="I31" i="3"/>
  <c r="I23" i="3"/>
  <c r="I18" i="3"/>
  <c r="L9" i="10" s="1"/>
  <c r="I48" i="3"/>
  <c r="I45" i="3"/>
  <c r="I26" i="3"/>
  <c r="I75" i="3"/>
  <c r="I62" i="3"/>
  <c r="L14" i="10" s="1"/>
  <c r="I72" i="3"/>
  <c r="I17" i="4" s="1"/>
  <c r="I11" i="4"/>
  <c r="I14" i="4"/>
  <c r="I9" i="1"/>
  <c r="I58" i="3" s="1"/>
  <c r="L13" i="10" s="1"/>
  <c r="I24" i="1"/>
  <c r="I15" i="1"/>
  <c r="I27" i="1"/>
  <c r="I18" i="1"/>
  <c r="J24" i="1"/>
  <c r="K7" i="1"/>
  <c r="K6" i="1" s="1"/>
  <c r="J62" i="3" l="1"/>
  <c r="J33" i="4" s="1"/>
  <c r="J27" i="1"/>
  <c r="J23" i="3"/>
  <c r="J75" i="3"/>
  <c r="J11" i="4"/>
  <c r="L6" i="1"/>
  <c r="L62" i="3" s="1"/>
  <c r="O14" i="10" s="1"/>
  <c r="J11" i="3"/>
  <c r="J18" i="1"/>
  <c r="J9" i="1"/>
  <c r="J12" i="1" s="1"/>
  <c r="J13" i="1" s="1"/>
  <c r="J14" i="4"/>
  <c r="J31" i="3"/>
  <c r="J48" i="3"/>
  <c r="J14" i="3"/>
  <c r="J15" i="3" s="1"/>
  <c r="J15" i="1"/>
  <c r="J45" i="3"/>
  <c r="J42" i="3"/>
  <c r="J40" i="3" s="1"/>
  <c r="J27" i="4"/>
  <c r="M6" i="1"/>
  <c r="M26" i="3" s="1"/>
  <c r="J45" i="4"/>
  <c r="J51" i="4" s="1"/>
  <c r="I45" i="4"/>
  <c r="I51" i="4" s="1"/>
  <c r="L10" i="10"/>
  <c r="L22" i="11"/>
  <c r="C12" i="11"/>
  <c r="G33" i="11"/>
  <c r="C22" i="11"/>
  <c r="L11" i="11"/>
  <c r="C8" i="11"/>
  <c r="L20" i="11"/>
  <c r="L9" i="11"/>
  <c r="G31" i="11"/>
  <c r="C20" i="11"/>
  <c r="M14" i="10"/>
  <c r="L25" i="7"/>
  <c r="K25" i="7"/>
  <c r="L16" i="10"/>
  <c r="J17" i="4"/>
  <c r="D37" i="1"/>
  <c r="D6" i="4"/>
  <c r="D38" i="4" s="1"/>
  <c r="D69" i="4" s="1"/>
  <c r="D73" i="4" s="1"/>
  <c r="E71" i="4" s="1"/>
  <c r="E73" i="4" s="1"/>
  <c r="F71" i="4" s="1"/>
  <c r="F73" i="4" s="1"/>
  <c r="G71" i="4" s="1"/>
  <c r="G73" i="4" s="1"/>
  <c r="I71" i="4" s="1"/>
  <c r="I12" i="1"/>
  <c r="I13" i="1" s="1"/>
  <c r="K11" i="4"/>
  <c r="K75" i="3"/>
  <c r="K72" i="3"/>
  <c r="K17" i="4" s="1"/>
  <c r="K48" i="3"/>
  <c r="K26" i="3"/>
  <c r="K62" i="3"/>
  <c r="K18" i="3"/>
  <c r="N9" i="10" s="1"/>
  <c r="K42" i="3"/>
  <c r="K31" i="3"/>
  <c r="K23" i="3"/>
  <c r="K45" i="3"/>
  <c r="K14" i="4"/>
  <c r="K14" i="3"/>
  <c r="N8" i="10" s="1"/>
  <c r="K10" i="3"/>
  <c r="N7" i="10" s="1"/>
  <c r="I29" i="3"/>
  <c r="I34" i="3" s="1"/>
  <c r="I9" i="4"/>
  <c r="I15" i="3"/>
  <c r="I29" i="4"/>
  <c r="L26" i="3"/>
  <c r="L18" i="3"/>
  <c r="O9" i="10" s="1"/>
  <c r="L42" i="3"/>
  <c r="I59" i="3"/>
  <c r="I31" i="4"/>
  <c r="I68" i="3"/>
  <c r="I78" i="3" s="1"/>
  <c r="I33" i="4"/>
  <c r="I38" i="3"/>
  <c r="K18" i="1"/>
  <c r="K27" i="1"/>
  <c r="K9" i="1"/>
  <c r="K15" i="1"/>
  <c r="K24" i="1"/>
  <c r="L24" i="1" l="1"/>
  <c r="N25" i="7" s="1"/>
  <c r="L14" i="3"/>
  <c r="O8" i="10" s="1"/>
  <c r="O10" i="10" s="1"/>
  <c r="L72" i="3"/>
  <c r="L17" i="4" s="1"/>
  <c r="L15" i="1"/>
  <c r="L10" i="3"/>
  <c r="O7" i="10" s="1"/>
  <c r="L11" i="4"/>
  <c r="J38" i="3"/>
  <c r="L14" i="4"/>
  <c r="L75" i="3"/>
  <c r="M8" i="10"/>
  <c r="M10" i="10" s="1"/>
  <c r="J29" i="4"/>
  <c r="M72" i="3"/>
  <c r="M18" i="1"/>
  <c r="J58" i="3"/>
  <c r="M13" i="10" s="1"/>
  <c r="J9" i="4"/>
  <c r="L9" i="1"/>
  <c r="L58" i="3" s="1"/>
  <c r="O13" i="10" s="1"/>
  <c r="O16" i="10" s="1"/>
  <c r="L31" i="3"/>
  <c r="L9" i="4" s="1"/>
  <c r="L45" i="3"/>
  <c r="M45" i="3"/>
  <c r="L27" i="1"/>
  <c r="L18" i="1"/>
  <c r="L23" i="3"/>
  <c r="L48" i="3"/>
  <c r="M31" i="3"/>
  <c r="M14" i="3"/>
  <c r="M15" i="3" s="1"/>
  <c r="M27" i="1"/>
  <c r="M42" i="3"/>
  <c r="M24" i="1"/>
  <c r="M18" i="3"/>
  <c r="P9" i="10" s="1"/>
  <c r="M62" i="3"/>
  <c r="P14" i="10" s="1"/>
  <c r="M75" i="3"/>
  <c r="M10" i="3"/>
  <c r="M11" i="3" s="1"/>
  <c r="M11" i="4"/>
  <c r="M9" i="1"/>
  <c r="M12" i="1" s="1"/>
  <c r="M13" i="1" s="1"/>
  <c r="M15" i="1"/>
  <c r="M14" i="4"/>
  <c r="M48" i="3"/>
  <c r="M23" i="3"/>
  <c r="L45" i="4"/>
  <c r="L51" i="4" s="1"/>
  <c r="M45" i="4"/>
  <c r="M51" i="4" s="1"/>
  <c r="K45" i="4"/>
  <c r="K51" i="4" s="1"/>
  <c r="L19" i="10"/>
  <c r="L22" i="10" s="1"/>
  <c r="G30" i="11"/>
  <c r="L19" i="11"/>
  <c r="C19" i="11"/>
  <c r="L8" i="11"/>
  <c r="L23" i="11"/>
  <c r="G34" i="11"/>
  <c r="C23" i="11"/>
  <c r="L12" i="11"/>
  <c r="M16" i="10"/>
  <c r="M19" i="10" s="1"/>
  <c r="K33" i="4"/>
  <c r="N14" i="10"/>
  <c r="N10" i="10"/>
  <c r="M25" i="7"/>
  <c r="J29" i="3"/>
  <c r="K29" i="3" s="1"/>
  <c r="I21" i="1"/>
  <c r="I30" i="1" s="1"/>
  <c r="I35" i="4" s="1"/>
  <c r="L11" i="3"/>
  <c r="K15" i="3"/>
  <c r="K29" i="4"/>
  <c r="J68" i="3"/>
  <c r="J78" i="3" s="1"/>
  <c r="J31" i="4"/>
  <c r="K12" i="1"/>
  <c r="K13" i="1" s="1"/>
  <c r="K58" i="3"/>
  <c r="N13" i="10" s="1"/>
  <c r="K11" i="3"/>
  <c r="K27" i="4"/>
  <c r="L33" i="4"/>
  <c r="K40" i="3"/>
  <c r="L40" i="3" s="1"/>
  <c r="J21" i="1"/>
  <c r="J30" i="1" s="1"/>
  <c r="J35" i="4" s="1"/>
  <c r="K9" i="4"/>
  <c r="L15" i="3" l="1"/>
  <c r="L27" i="4"/>
  <c r="J59" i="3"/>
  <c r="L29" i="4"/>
  <c r="O25" i="7"/>
  <c r="M17" i="4"/>
  <c r="L12" i="1"/>
  <c r="L13" i="1" s="1"/>
  <c r="L29" i="3"/>
  <c r="L34" i="3" s="1"/>
  <c r="P8" i="10"/>
  <c r="M27" i="4"/>
  <c r="P7" i="10"/>
  <c r="M9" i="4"/>
  <c r="M40" i="3"/>
  <c r="M38" i="3" s="1"/>
  <c r="M58" i="3"/>
  <c r="P13" i="10" s="1"/>
  <c r="P16" i="10" s="1"/>
  <c r="M33" i="4"/>
  <c r="M29" i="4"/>
  <c r="K33" i="7"/>
  <c r="K35" i="7" s="1"/>
  <c r="O19" i="10"/>
  <c r="M22" i="10"/>
  <c r="L33" i="7"/>
  <c r="M20" i="10"/>
  <c r="N16" i="10"/>
  <c r="N19" i="10" s="1"/>
  <c r="J34" i="3"/>
  <c r="K34" i="3"/>
  <c r="I22" i="1"/>
  <c r="J22" i="1"/>
  <c r="L38" i="3"/>
  <c r="M21" i="1"/>
  <c r="M22" i="1" s="1"/>
  <c r="K38" i="3"/>
  <c r="K68" i="3"/>
  <c r="K78" i="3" s="1"/>
  <c r="K31" i="4"/>
  <c r="K59" i="3"/>
  <c r="L68" i="3"/>
  <c r="L78" i="3" s="1"/>
  <c r="L59" i="3"/>
  <c r="L31" i="4"/>
  <c r="K21" i="1"/>
  <c r="J33" i="1"/>
  <c r="J36" i="1" s="1"/>
  <c r="J31" i="1"/>
  <c r="I31" i="1"/>
  <c r="I33" i="1"/>
  <c r="I36" i="1" s="1"/>
  <c r="L21" i="1" l="1"/>
  <c r="L22" i="1" s="1"/>
  <c r="P10" i="10"/>
  <c r="M29" i="3"/>
  <c r="M34" i="3" s="1"/>
  <c r="M59" i="3"/>
  <c r="M68" i="3"/>
  <c r="M78" i="3" s="1"/>
  <c r="P19" i="10"/>
  <c r="P22" i="10" s="1"/>
  <c r="M31" i="4"/>
  <c r="L34" i="7"/>
  <c r="L35" i="7"/>
  <c r="N22" i="10"/>
  <c r="M33" i="7"/>
  <c r="N20" i="10"/>
  <c r="O22" i="10"/>
  <c r="N33" i="7"/>
  <c r="O20" i="10"/>
  <c r="M30" i="1"/>
  <c r="I37" i="1"/>
  <c r="I83" i="3"/>
  <c r="I6" i="4"/>
  <c r="I38" i="4" s="1"/>
  <c r="J37" i="1"/>
  <c r="J6" i="4"/>
  <c r="J38" i="4" s="1"/>
  <c r="K30" i="1"/>
  <c r="K22" i="1"/>
  <c r="L30" i="1" l="1"/>
  <c r="L35" i="4" s="1"/>
  <c r="O33" i="7"/>
  <c r="O35" i="7" s="1"/>
  <c r="M34" i="7"/>
  <c r="M35" i="7"/>
  <c r="N34" i="7"/>
  <c r="N35" i="7"/>
  <c r="L31" i="1"/>
  <c r="M35" i="4"/>
  <c r="M31" i="1"/>
  <c r="M33" i="1"/>
  <c r="M36" i="1" s="1"/>
  <c r="K35" i="4"/>
  <c r="K31" i="1"/>
  <c r="K33" i="1"/>
  <c r="K36" i="1" s="1"/>
  <c r="I90" i="3"/>
  <c r="I92" i="3" s="1"/>
  <c r="I65" i="4" s="1"/>
  <c r="I67" i="4" s="1"/>
  <c r="I69" i="4" s="1"/>
  <c r="I73" i="4" s="1"/>
  <c r="J83" i="3"/>
  <c r="L33" i="1" l="1"/>
  <c r="L36" i="1" s="1"/>
  <c r="L37" i="1" s="1"/>
  <c r="I7" i="3"/>
  <c r="I21" i="3" s="1"/>
  <c r="I51" i="3" s="1"/>
  <c r="I93" i="3" s="1"/>
  <c r="J71" i="4"/>
  <c r="M37" i="1"/>
  <c r="M6" i="4"/>
  <c r="M38" i="4" s="1"/>
  <c r="J90" i="3"/>
  <c r="J92" i="3" s="1"/>
  <c r="J65" i="4" s="1"/>
  <c r="J67" i="4" s="1"/>
  <c r="J69" i="4" s="1"/>
  <c r="J73" i="4" s="1"/>
  <c r="K83" i="3"/>
  <c r="K37" i="1"/>
  <c r="K6" i="4"/>
  <c r="K38" i="4" s="1"/>
  <c r="I8" i="3" l="1"/>
  <c r="L6" i="4"/>
  <c r="L38" i="4" s="1"/>
  <c r="J7" i="3"/>
  <c r="J21" i="3" s="1"/>
  <c r="J51" i="3" s="1"/>
  <c r="J93" i="3" s="1"/>
  <c r="K71" i="4"/>
  <c r="K90" i="3"/>
  <c r="K92" i="3" s="1"/>
  <c r="L83" i="3"/>
  <c r="J8" i="3"/>
  <c r="K65" i="4" l="1"/>
  <c r="K67" i="4" s="1"/>
  <c r="K69" i="4" s="1"/>
  <c r="K73" i="4" s="1"/>
  <c r="K7" i="3" s="1"/>
  <c r="M83" i="3"/>
  <c r="M90" i="3" s="1"/>
  <c r="M92" i="3" s="1"/>
  <c r="L90" i="3"/>
  <c r="L92" i="3" s="1"/>
  <c r="L71" i="4" l="1"/>
  <c r="L65" i="4"/>
  <c r="L67" i="4" s="1"/>
  <c r="L69" i="4" s="1"/>
  <c r="L73" i="4" s="1"/>
  <c r="K21" i="3"/>
  <c r="K51" i="3" s="1"/>
  <c r="K93" i="3" s="1"/>
  <c r="K8" i="3"/>
  <c r="L7" i="3" l="1"/>
  <c r="L21" i="3" s="1"/>
  <c r="L51" i="3" s="1"/>
  <c r="L93" i="3" s="1"/>
  <c r="M71" i="4"/>
  <c r="M65" i="4" s="1"/>
  <c r="M67" i="4" s="1"/>
  <c r="M69" i="4" s="1"/>
  <c r="M73" i="4" s="1"/>
  <c r="M7" i="3" s="1"/>
  <c r="L8" i="3" l="1"/>
  <c r="M21" i="3"/>
  <c r="M51" i="3" s="1"/>
  <c r="M93" i="3" s="1"/>
  <c r="M8" i="3"/>
  <c r="M6" i="8"/>
  <c r="M36" i="8" s="1"/>
  <c r="I6" i="8"/>
  <c r="I36" i="8" s="1"/>
  <c r="I53" i="8" l="1"/>
  <c r="I55" i="8"/>
  <c r="I43" i="8"/>
  <c r="I47" i="8"/>
  <c r="I57" i="8"/>
  <c r="I45" i="8"/>
  <c r="M50" i="8"/>
  <c r="O19" i="7" s="1"/>
  <c r="M47" i="8"/>
  <c r="M55" i="8"/>
  <c r="M43" i="8"/>
  <c r="M57" i="8"/>
  <c r="M45" i="8"/>
  <c r="M53" i="8"/>
  <c r="M37" i="8"/>
  <c r="O11" i="7" s="1"/>
  <c r="M40" i="8"/>
  <c r="O13" i="7" s="1"/>
  <c r="O10" i="7"/>
  <c r="P20" i="10" s="1"/>
  <c r="K10" i="7"/>
  <c r="I50" i="8"/>
  <c r="K19" i="7" s="1"/>
  <c r="I40" i="8"/>
  <c r="K13" i="7" s="1"/>
  <c r="I37" i="8"/>
  <c r="K11" i="7" s="1"/>
  <c r="J37" i="8"/>
  <c r="L11" i="7" s="1"/>
  <c r="O34" i="7" l="1"/>
  <c r="O16" i="7"/>
  <c r="O17" i="7" s="1"/>
  <c r="K16" i="7"/>
  <c r="M30" i="7"/>
  <c r="N27" i="7"/>
  <c r="O27" i="7"/>
  <c r="K27" i="7"/>
  <c r="M27" i="7"/>
  <c r="K30" i="7"/>
  <c r="L30" i="7"/>
  <c r="N30" i="7"/>
  <c r="O30" i="7"/>
  <c r="L27" i="7"/>
  <c r="L20" i="10"/>
  <c r="K34" i="7"/>
  <c r="L38" i="7" l="1"/>
  <c r="L43" i="7" s="1"/>
  <c r="M38" i="7"/>
  <c r="M43" i="7" s="1"/>
  <c r="O22" i="7"/>
  <c r="P66" i="7" s="1"/>
  <c r="N38" i="7"/>
  <c r="N43" i="7" s="1"/>
  <c r="K22" i="7"/>
  <c r="K17" i="7"/>
  <c r="E50" i="7" l="1"/>
  <c r="O38" i="7"/>
  <c r="O23" i="7"/>
  <c r="K23" i="7"/>
  <c r="K38" i="7"/>
  <c r="P49" i="7" l="1"/>
  <c r="K43" i="7"/>
  <c r="O43" i="7"/>
  <c r="E67" i="7"/>
  <c r="E70" i="7" l="1"/>
  <c r="E72" i="7" s="1"/>
  <c r="E75" i="7"/>
  <c r="E57" i="7"/>
  <c r="E76" i="7" l="1"/>
  <c r="P65" i="7" s="1"/>
  <c r="P69" i="7" s="1"/>
  <c r="E73" i="7"/>
  <c r="Q7" i="5"/>
  <c r="U7" i="5"/>
  <c r="S7" i="5"/>
  <c r="T7" i="5"/>
  <c r="R7" i="5"/>
  <c r="S8" i="5"/>
  <c r="T8" i="5"/>
  <c r="R8" i="5"/>
  <c r="U8" i="5"/>
  <c r="K65" i="7" l="1"/>
  <c r="K70" i="7" s="1"/>
  <c r="K74" i="7" s="1"/>
  <c r="K75" i="7" s="1"/>
  <c r="P72" i="7"/>
  <c r="P75" i="7" s="1"/>
  <c r="V7" i="5"/>
  <c r="V8" i="5"/>
  <c r="E52" i="7"/>
  <c r="P51" i="7" s="1"/>
  <c r="P53" i="7" s="1"/>
  <c r="C6" i="11"/>
  <c r="F7" i="11" s="1"/>
  <c r="E54" i="7" l="1"/>
  <c r="E58" i="7" s="1"/>
  <c r="K49" i="7" s="1"/>
  <c r="K54" i="7" s="1"/>
  <c r="K58" i="7" s="1"/>
  <c r="K59" i="7" s="1"/>
  <c r="G7" i="11"/>
  <c r="F18" i="11"/>
  <c r="F11" i="11"/>
  <c r="E7" i="11"/>
  <c r="O7" i="11"/>
  <c r="F9" i="11"/>
  <c r="J29" i="11"/>
  <c r="F10" i="11"/>
  <c r="F12" i="11"/>
  <c r="F8" i="11"/>
  <c r="O18" i="11"/>
  <c r="E55" i="7" l="1"/>
  <c r="P56" i="7"/>
  <c r="P59" i="7" s="1"/>
  <c r="O8" i="11"/>
  <c r="O19" i="11" s="1"/>
  <c r="J30" i="11"/>
  <c r="O12" i="11"/>
  <c r="O23" i="11" s="1"/>
  <c r="J34" i="11"/>
  <c r="O9" i="11"/>
  <c r="O20" i="11" s="1"/>
  <c r="J31" i="11"/>
  <c r="J33" i="11"/>
  <c r="O11" i="11"/>
  <c r="O22" i="11" s="1"/>
  <c r="O10" i="11"/>
  <c r="O21" i="11" s="1"/>
  <c r="J32" i="11"/>
  <c r="I29" i="11"/>
  <c r="E8" i="11"/>
  <c r="N7" i="11"/>
  <c r="E18" i="11"/>
  <c r="E12" i="11"/>
  <c r="N18" i="11"/>
  <c r="D7" i="11"/>
  <c r="E10" i="11"/>
  <c r="E9" i="11"/>
  <c r="E11" i="11"/>
  <c r="F21" i="11"/>
  <c r="F22" i="11"/>
  <c r="F19" i="11"/>
  <c r="F23" i="11"/>
  <c r="F20" i="11"/>
  <c r="G12" i="11"/>
  <c r="H7" i="11"/>
  <c r="G8" i="11"/>
  <c r="G9" i="11"/>
  <c r="G18" i="11"/>
  <c r="P7" i="11"/>
  <c r="K29" i="11"/>
  <c r="P18" i="11"/>
  <c r="G10" i="11"/>
  <c r="G11" i="11"/>
  <c r="P11" i="11" l="1"/>
  <c r="P22" i="11" s="1"/>
  <c r="K33" i="11"/>
  <c r="I31" i="11"/>
  <c r="N9" i="11"/>
  <c r="N20" i="11" s="1"/>
  <c r="G22" i="11"/>
  <c r="G20" i="11"/>
  <c r="G21" i="11"/>
  <c r="G19" i="11"/>
  <c r="G23" i="11"/>
  <c r="D12" i="11"/>
  <c r="D18" i="11"/>
  <c r="M18" i="11"/>
  <c r="D11" i="11"/>
  <c r="D9" i="11"/>
  <c r="D10" i="11"/>
  <c r="H29" i="11"/>
  <c r="M7" i="11"/>
  <c r="D8" i="11"/>
  <c r="N8" i="11"/>
  <c r="N19" i="11" s="1"/>
  <c r="I30" i="11"/>
  <c r="I33" i="11"/>
  <c r="N11" i="11"/>
  <c r="N22" i="11" s="1"/>
  <c r="K31" i="11"/>
  <c r="P9" i="11"/>
  <c r="P20" i="11" s="1"/>
  <c r="K30" i="11"/>
  <c r="P8" i="11"/>
  <c r="P19" i="11" s="1"/>
  <c r="H10" i="11"/>
  <c r="Q7" i="11"/>
  <c r="Q18" i="11"/>
  <c r="H9" i="11"/>
  <c r="L29" i="11"/>
  <c r="H12" i="11"/>
  <c r="H11" i="11"/>
  <c r="H8" i="11"/>
  <c r="H18" i="11"/>
  <c r="I34" i="11"/>
  <c r="N12" i="11"/>
  <c r="N23" i="11" s="1"/>
  <c r="K34" i="11"/>
  <c r="P12" i="11"/>
  <c r="P23" i="11" s="1"/>
  <c r="E23" i="11"/>
  <c r="E20" i="11"/>
  <c r="E19" i="11"/>
  <c r="E21" i="11"/>
  <c r="E22" i="11"/>
  <c r="P10" i="11"/>
  <c r="P21" i="11" s="1"/>
  <c r="K32" i="11"/>
  <c r="N10" i="11"/>
  <c r="N21" i="11" s="1"/>
  <c r="I32" i="11"/>
  <c r="H21" i="11" l="1"/>
  <c r="H23" i="11"/>
  <c r="H22" i="11"/>
  <c r="H19" i="11"/>
  <c r="H20" i="11"/>
  <c r="D20" i="11"/>
  <c r="D19" i="11"/>
  <c r="D22" i="11"/>
  <c r="D21" i="11"/>
  <c r="D23" i="11"/>
  <c r="H34" i="11"/>
  <c r="M12" i="11"/>
  <c r="M23" i="11" s="1"/>
  <c r="L31" i="11"/>
  <c r="Q9" i="11"/>
  <c r="Q20" i="11" s="1"/>
  <c r="Q8" i="11"/>
  <c r="Q19" i="11" s="1"/>
  <c r="L30" i="11"/>
  <c r="L33" i="11"/>
  <c r="Q11" i="11"/>
  <c r="Q22" i="11" s="1"/>
  <c r="M8" i="11"/>
  <c r="M19" i="11" s="1"/>
  <c r="H30" i="11"/>
  <c r="Q10" i="11"/>
  <c r="Q21" i="11" s="1"/>
  <c r="L32" i="11"/>
  <c r="H32" i="11"/>
  <c r="M10" i="11"/>
  <c r="M21" i="11" s="1"/>
  <c r="L34" i="11"/>
  <c r="Q12" i="11"/>
  <c r="Q23" i="11" s="1"/>
  <c r="M9" i="11"/>
  <c r="M20" i="11" s="1"/>
  <c r="H31" i="11"/>
  <c r="M11" i="11"/>
  <c r="M22" i="11" s="1"/>
  <c r="H33" i="11"/>
  <c r="D37"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2"/>
        </ext>
      </extLst>
    </bk>
  </futureMetadata>
  <valueMetadata count="1">
    <bk>
      <rc t="1" v="0"/>
    </bk>
  </valueMetadata>
</metadata>
</file>

<file path=xl/sharedStrings.xml><?xml version="1.0" encoding="utf-8"?>
<sst xmlns="http://schemas.openxmlformats.org/spreadsheetml/2006/main" count="615" uniqueCount="295">
  <si>
    <t>Leidos Discounted Cash Flow Overview</t>
  </si>
  <si>
    <t>Scenario:</t>
  </si>
  <si>
    <t>(In Millions)</t>
  </si>
  <si>
    <t>x</t>
  </si>
  <si>
    <t>Sales</t>
  </si>
  <si>
    <t xml:space="preserve">   % Growth</t>
  </si>
  <si>
    <t>Cost of Sales</t>
  </si>
  <si>
    <t>% of Sales</t>
  </si>
  <si>
    <t>Gross Profit</t>
  </si>
  <si>
    <t xml:space="preserve">   % Margin</t>
  </si>
  <si>
    <t>Operating Expenses</t>
  </si>
  <si>
    <t>Operating Income (EBIT)</t>
  </si>
  <si>
    <t>Cash Taxes Paid</t>
  </si>
  <si>
    <t>D&amp;A</t>
  </si>
  <si>
    <t>Capital Expenditures</t>
  </si>
  <si>
    <t>Net Working Capital</t>
  </si>
  <si>
    <t>(Increase)/Decrease in NWC</t>
  </si>
  <si>
    <t>Unlevered Free Cash Flow</t>
  </si>
  <si>
    <t>WACC:</t>
  </si>
  <si>
    <t>Stub Year:</t>
  </si>
  <si>
    <t>Discount Factor:</t>
  </si>
  <si>
    <t>Discounted Free Cash Flow</t>
  </si>
  <si>
    <t>Discounted FCF:</t>
  </si>
  <si>
    <t>Exit Multiple Method</t>
  </si>
  <si>
    <t>Enterprise Value via EMM</t>
  </si>
  <si>
    <t>Implied Equity Value and Share Price</t>
  </si>
  <si>
    <t>Implied Perpetuity Growth Rate</t>
  </si>
  <si>
    <t>Terminal Value</t>
  </si>
  <si>
    <t>Enterprise Value</t>
  </si>
  <si>
    <t>Terminal Year Free Cash Flow</t>
  </si>
  <si>
    <t xml:space="preserve">Terminal Year EBITDA </t>
  </si>
  <si>
    <t xml:space="preserve">  Less: Total Debt</t>
  </si>
  <si>
    <t>WACC</t>
  </si>
  <si>
    <t>Exit Multiple</t>
  </si>
  <si>
    <t xml:space="preserve">  Less: Preferred Stock</t>
  </si>
  <si>
    <t xml:space="preserve">  Less: Noncontrolling Interest</t>
  </si>
  <si>
    <t>Discount Factor</t>
  </si>
  <si>
    <t xml:space="preserve">  Plus: Cash and Cash Equivalents</t>
  </si>
  <si>
    <t>Present Value of Terminal Value</t>
  </si>
  <si>
    <t>Implied Equity Value</t>
  </si>
  <si>
    <t xml:space="preserve">   % of Enterprise Value</t>
  </si>
  <si>
    <t>Implied EV / EBITDA</t>
  </si>
  <si>
    <t>Fully Diluted Shares Outstanding</t>
  </si>
  <si>
    <t xml:space="preserve">Cumulative Present Value of FCF </t>
  </si>
  <si>
    <t>Current Share Price</t>
  </si>
  <si>
    <t>LTM EBITDA</t>
  </si>
  <si>
    <t>Implied Share Price (USD)</t>
  </si>
  <si>
    <t xml:space="preserve">   Upside/Downside (%)</t>
  </si>
  <si>
    <t>Gordon Growth Method</t>
  </si>
  <si>
    <t>Enterprise Value via GGM</t>
  </si>
  <si>
    <t>Implied Exit Multiple</t>
  </si>
  <si>
    <t>Terminal Year EBITDA</t>
  </si>
  <si>
    <t>Perpetuity Growth Rate</t>
  </si>
  <si>
    <t xml:space="preserve">Leidos Sensitivity Analysis </t>
  </si>
  <si>
    <t>Implied Enterprise Value / LTM EBITDA</t>
  </si>
  <si>
    <t xml:space="preserve">Leidos Comparable Companies Overview </t>
  </si>
  <si>
    <t>EBITDA</t>
  </si>
  <si>
    <t>Multiple Range</t>
  </si>
  <si>
    <t>Implied Enterprise Value</t>
  </si>
  <si>
    <t>Net Debt</t>
  </si>
  <si>
    <t>LTM</t>
  </si>
  <si>
    <t>-</t>
  </si>
  <si>
    <t xml:space="preserve">Leidos WACC Calculation </t>
  </si>
  <si>
    <t>WACC Calculation</t>
  </si>
  <si>
    <t>Comparable Companies Unlevered Beta</t>
  </si>
  <si>
    <t>Capital Structure</t>
  </si>
  <si>
    <t>Cost of Debt</t>
  </si>
  <si>
    <t>Comparable Companies Tiers</t>
  </si>
  <si>
    <t>Levered Beta</t>
  </si>
  <si>
    <t>Total Debt</t>
  </si>
  <si>
    <t>Total Equity</t>
  </si>
  <si>
    <t>Debt/Equity</t>
  </si>
  <si>
    <t>Marginal Tax Rate</t>
  </si>
  <si>
    <t>Unlevered Beta</t>
  </si>
  <si>
    <t>Value of Equity</t>
  </si>
  <si>
    <t>Annual Interest Expense</t>
  </si>
  <si>
    <t>Value of ST Debt</t>
  </si>
  <si>
    <t>Average Debt</t>
  </si>
  <si>
    <t>Value of LT Debt</t>
  </si>
  <si>
    <t>ST Debt-to-Total Capitalization</t>
  </si>
  <si>
    <t>LT Debt-to-Total Capitalization</t>
  </si>
  <si>
    <t>Equity-to-Total Capitalization</t>
  </si>
  <si>
    <t>Pre-tax Cost of Debt</t>
  </si>
  <si>
    <t>Cost of Equity</t>
  </si>
  <si>
    <t>Median Unlevered Beta</t>
  </si>
  <si>
    <t>Relevered Beta</t>
  </si>
  <si>
    <t>Debt-to-Total Capitalization</t>
  </si>
  <si>
    <t>Risk-free Rate</t>
  </si>
  <si>
    <t>Market-risk Rate</t>
  </si>
  <si>
    <t>Market-risk Premium</t>
  </si>
  <si>
    <t>WACC Sensitivity Analysis</t>
  </si>
  <si>
    <t>Tax Rate</t>
  </si>
  <si>
    <t>Pre-Tax Cost of Debt</t>
  </si>
  <si>
    <t xml:space="preserve">Leidos Net Working Capital </t>
  </si>
  <si>
    <t>2018 A</t>
  </si>
  <si>
    <t>2019 A</t>
  </si>
  <si>
    <t>2020 A</t>
  </si>
  <si>
    <t>2021 A</t>
  </si>
  <si>
    <t>2022 A</t>
  </si>
  <si>
    <t>2023 E</t>
  </si>
  <si>
    <t>2024 E</t>
  </si>
  <si>
    <t>2025 E</t>
  </si>
  <si>
    <t>2026 E</t>
  </si>
  <si>
    <t>2027 E</t>
  </si>
  <si>
    <t>Current Assets</t>
  </si>
  <si>
    <t>Accounts Receivable</t>
  </si>
  <si>
    <t>Inventories</t>
  </si>
  <si>
    <t>Other Current Assets</t>
  </si>
  <si>
    <t>Total Current Assets</t>
  </si>
  <si>
    <t>Current Liabilities</t>
  </si>
  <si>
    <t>Accounts payable &amp; accrued liabilities</t>
  </si>
  <si>
    <t>Accrued Payroll and Employee Benefits</t>
  </si>
  <si>
    <t>Other current liabilities</t>
  </si>
  <si>
    <t>Total Current Liabilities</t>
  </si>
  <si>
    <t xml:space="preserve">     % of Sales</t>
  </si>
  <si>
    <t>Increase / (Decrease) in NWC</t>
  </si>
  <si>
    <t xml:space="preserve">    Leidos Comparable Companies </t>
  </si>
  <si>
    <t>Market Valuation</t>
  </si>
  <si>
    <t>LTM Financial Statistics</t>
  </si>
  <si>
    <t>LTM Profitability Margins</t>
  </si>
  <si>
    <t>Growth Rates</t>
  </si>
  <si>
    <t>EV Ratios</t>
  </si>
  <si>
    <t>Equity Value</t>
  </si>
  <si>
    <t>Beta</t>
  </si>
  <si>
    <t xml:space="preserve">Total Debt </t>
  </si>
  <si>
    <t xml:space="preserve"> EBIT</t>
  </si>
  <si>
    <t xml:space="preserve"> Net Income</t>
  </si>
  <si>
    <t>Gross Profit (%)</t>
  </si>
  <si>
    <t>EBITDA (%)</t>
  </si>
  <si>
    <t>EBIT (%)</t>
  </si>
  <si>
    <t>Net Income (%)</t>
  </si>
  <si>
    <t>EPS</t>
  </si>
  <si>
    <t>2022 EBITDA</t>
  </si>
  <si>
    <t>2021 EBITDA</t>
  </si>
  <si>
    <t>EV / LTM EBITDA</t>
  </si>
  <si>
    <t>EV / 22 EBITDA</t>
  </si>
  <si>
    <t>EV / 21 EBITDA</t>
  </si>
  <si>
    <t>EV / LTM EBIT</t>
  </si>
  <si>
    <t>EV / LTM Sales</t>
  </si>
  <si>
    <t>Company</t>
  </si>
  <si>
    <t>Weight</t>
  </si>
  <si>
    <t>Ticker</t>
  </si>
  <si>
    <t xml:space="preserve">Leidos Holdings Inc. </t>
  </si>
  <si>
    <t>LDOS</t>
  </si>
  <si>
    <t>LDOS US EQUITY</t>
  </si>
  <si>
    <t>Tier 1: Closely Comparable</t>
  </si>
  <si>
    <t>Science Applications International Corporation</t>
  </si>
  <si>
    <t>SAIC</t>
  </si>
  <si>
    <t>SAIC US EQUITY</t>
  </si>
  <si>
    <t xml:space="preserve">Booz Allen Hamiliton Holding Corporation </t>
  </si>
  <si>
    <t>BAH</t>
  </si>
  <si>
    <t>BAH US EQUITY</t>
  </si>
  <si>
    <t>CACI International Inc</t>
  </si>
  <si>
    <t>ACN</t>
  </si>
  <si>
    <t>CAN US EQUITY</t>
  </si>
  <si>
    <t>Median</t>
  </si>
  <si>
    <t>Mean</t>
  </si>
  <si>
    <t>Tier 2: Comparable with Broader Operations</t>
  </si>
  <si>
    <t>Parsons Corporation</t>
  </si>
  <si>
    <t>PSN</t>
  </si>
  <si>
    <t>PSN US EQUITY</t>
  </si>
  <si>
    <t xml:space="preserve">RTX Corporation </t>
  </si>
  <si>
    <t>RTX</t>
  </si>
  <si>
    <t>RTX US EQUITY</t>
  </si>
  <si>
    <t>Jacobs</t>
  </si>
  <si>
    <t>J</t>
  </si>
  <si>
    <t>J US EQUITY</t>
  </si>
  <si>
    <t xml:space="preserve">Tier 3: Comparable with Diversified Sectors </t>
  </si>
  <si>
    <t>Accenture PLC</t>
  </si>
  <si>
    <t>ACN US EQUITY</t>
  </si>
  <si>
    <t xml:space="preserve">The Boeing Company </t>
  </si>
  <si>
    <t>BA</t>
  </si>
  <si>
    <t>BA US EQUITY</t>
  </si>
  <si>
    <t>Overall</t>
  </si>
  <si>
    <t>Low</t>
  </si>
  <si>
    <t>High</t>
  </si>
  <si>
    <t>Weighted Overall</t>
  </si>
  <si>
    <t>Weighted</t>
  </si>
  <si>
    <t>Leidos Holding Co. Income Statement</t>
  </si>
  <si>
    <t xml:space="preserve">(In millions) </t>
  </si>
  <si>
    <t> </t>
  </si>
  <si>
    <t>X</t>
  </si>
  <si>
    <t xml:space="preserve">Sales </t>
  </si>
  <si>
    <t xml:space="preserve">     % Growth</t>
  </si>
  <si>
    <t>N/A</t>
  </si>
  <si>
    <t>Selling, General, and Administrative</t>
  </si>
  <si>
    <t>Operating Expenses, Other</t>
  </si>
  <si>
    <t>Operating Profit (EBIT)</t>
  </si>
  <si>
    <t>Interest Expense, Net</t>
  </si>
  <si>
    <t>Other (Expense) Income, Net</t>
  </si>
  <si>
    <t>Income Before Taxes (EBT)</t>
  </si>
  <si>
    <t>Income Tax Expense</t>
  </si>
  <si>
    <t xml:space="preserve">     % of EBT</t>
  </si>
  <si>
    <t>Net Income</t>
  </si>
  <si>
    <t xml:space="preserve">     Net Profit Margin</t>
  </si>
  <si>
    <t>Leidos Holding Co. Balance Sheet</t>
  </si>
  <si>
    <t>Assets</t>
  </si>
  <si>
    <t>Cash and cash equivalents</t>
  </si>
  <si>
    <t>Accounts receivable, net</t>
  </si>
  <si>
    <t xml:space="preserve">   DSO</t>
  </si>
  <si>
    <t xml:space="preserve">   DSI</t>
  </si>
  <si>
    <t>Other current assets</t>
  </si>
  <si>
    <t>Gross Property, Plant and Equipment</t>
  </si>
  <si>
    <t>Accumulated Depreciation</t>
  </si>
  <si>
    <t>Depreciation</t>
  </si>
  <si>
    <t>Net Property, Plant and Equipment</t>
  </si>
  <si>
    <t>Goodwill</t>
  </si>
  <si>
    <t>Gross Intangible Assets</t>
  </si>
  <si>
    <t>Less accumulated amortization</t>
  </si>
  <si>
    <t>Amortization</t>
  </si>
  <si>
    <t>Intangible Assets, net</t>
  </si>
  <si>
    <t>Other Assets</t>
  </si>
  <si>
    <t>Total Assets</t>
  </si>
  <si>
    <t>Liabilities and Shareholders Equity</t>
  </si>
  <si>
    <t>Current Debt</t>
  </si>
  <si>
    <t xml:space="preserve">     % of COGS</t>
  </si>
  <si>
    <t xml:space="preserve">   DPO</t>
  </si>
  <si>
    <t>Long-Term Debt</t>
  </si>
  <si>
    <t>Deferred Income Taxes</t>
  </si>
  <si>
    <t>Other Liabilities</t>
  </si>
  <si>
    <t>Total Liabilities</t>
  </si>
  <si>
    <t>Shareholders Equity</t>
  </si>
  <si>
    <t>Additional paid in Capital</t>
  </si>
  <si>
    <t>Retained earnings</t>
  </si>
  <si>
    <t>Accumulated other comprehensive gain (loss)</t>
  </si>
  <si>
    <t>Total Leidos Shareholders' Equity</t>
  </si>
  <si>
    <t>Noncontrolling Interests</t>
  </si>
  <si>
    <t>Total Shareholders' Equity</t>
  </si>
  <si>
    <t>Total Liabilities and Stockholders' Equity</t>
  </si>
  <si>
    <t>Check</t>
  </si>
  <si>
    <t>Leidos Holding Co. Statement of Cash Flows</t>
  </si>
  <si>
    <t>Cash Flow from Operations</t>
  </si>
  <si>
    <t>Adjustments to Reconcile Net Income to Net Cash Provided by Operations:</t>
  </si>
  <si>
    <t>Depreciation and Amortization</t>
  </si>
  <si>
    <t>Stock Based Compensation</t>
  </si>
  <si>
    <t>Asset Impairment Charges</t>
  </si>
  <si>
    <t xml:space="preserve">Other </t>
  </si>
  <si>
    <t>Gain on Sale of Business</t>
  </si>
  <si>
    <t>Loss on debt Extinguishment</t>
  </si>
  <si>
    <t>Non-Cash Interest (Income) Expense</t>
  </si>
  <si>
    <t>Other</t>
  </si>
  <si>
    <t>Changes in Assets and Liabilities, net effects of acquisitions and dispositions:</t>
  </si>
  <si>
    <t>Receivables</t>
  </si>
  <si>
    <t>Accounts payable and accrued liabilities and other long-term liabilities</t>
  </si>
  <si>
    <t>Income Taxes Receivable/Payable</t>
  </si>
  <si>
    <t>Net Cash Provided by Operating Activities:</t>
  </si>
  <si>
    <t>Cash Flows From Investing Activities</t>
  </si>
  <si>
    <t>Acquisitions of businesses, net cash acquired</t>
  </si>
  <si>
    <t>Proceeds from disposition of business</t>
  </si>
  <si>
    <t>Payments for property, equipment, and software</t>
  </si>
  <si>
    <t>Net proceeds from sale of assets</t>
  </si>
  <si>
    <t>Net Cash Provided by Investing Activities</t>
  </si>
  <si>
    <t>Cash Flows From Financing Activities</t>
  </si>
  <si>
    <t>Proceeds from debt issuance</t>
  </si>
  <si>
    <t>Repayments of borrowings</t>
  </si>
  <si>
    <t>Dividend Payments</t>
  </si>
  <si>
    <t>Repurchases of stock or other</t>
  </si>
  <si>
    <t>Proceeds from issuance of stock</t>
  </si>
  <si>
    <t>Net (decrease) increase in cash, cash equivalents, and restricted cash</t>
  </si>
  <si>
    <t>Cash, cash equivalents, and restricted cash at beginning of year</t>
  </si>
  <si>
    <t>Cash, cash equivalents, and restricted cash at end of year</t>
  </si>
  <si>
    <t>Leidos Holding Co. Revenue Build</t>
  </si>
  <si>
    <t xml:space="preserve">Bear Case </t>
  </si>
  <si>
    <t xml:space="preserve">Revenues by Segment: </t>
  </si>
  <si>
    <t>Defense Solutions</t>
  </si>
  <si>
    <t>Civil</t>
  </si>
  <si>
    <t>Health</t>
  </si>
  <si>
    <t>Sales (Total)</t>
  </si>
  <si>
    <t>Base Case</t>
  </si>
  <si>
    <t>Bull Case</t>
  </si>
  <si>
    <t>Leidos Holding Co. Assumptions</t>
  </si>
  <si>
    <t xml:space="preserve">Growth % </t>
  </si>
  <si>
    <t>Bull</t>
  </si>
  <si>
    <t>Base</t>
  </si>
  <si>
    <t>Bear</t>
  </si>
  <si>
    <t xml:space="preserve">SG&amp;A </t>
  </si>
  <si>
    <t xml:space="preserve"> </t>
  </si>
  <si>
    <t>LDOS EBITDA</t>
  </si>
  <si>
    <t>EBIT</t>
  </si>
  <si>
    <t>LDOS EBIT</t>
  </si>
  <si>
    <t>SALES</t>
  </si>
  <si>
    <t>LDOS SALES</t>
  </si>
  <si>
    <t>LTM EBIT</t>
  </si>
  <si>
    <t>LTM SALES</t>
  </si>
  <si>
    <t>Difference</t>
  </si>
  <si>
    <t>EV / EBITDA, EV / EBIT, EV / Sales Valuation Ranges</t>
  </si>
  <si>
    <t>Median Range</t>
  </si>
  <si>
    <t>Average Range</t>
  </si>
  <si>
    <t>Median Implied EV</t>
  </si>
  <si>
    <t>Overall Implied Enterprise Value</t>
  </si>
  <si>
    <t>Weighted Average</t>
  </si>
  <si>
    <t>Leidos Holding Co.</t>
  </si>
  <si>
    <t>1: Bull Case</t>
  </si>
  <si>
    <t>3: Bear Case</t>
  </si>
  <si>
    <t>2: Base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</si>
</sst>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0"/>
    <numFmt numFmtId="167" formatCode="_(#,##0_);_(\(#,##0\);_(&quot;-&quot;_);_(@_)"/>
    <numFmt numFmtId="168" formatCode="&quot;$&quot;#,##0.000"/>
    <numFmt numFmtId="169" formatCode="0.0"/>
    <numFmt numFmtId="170" formatCode="_(0_);_(\(0\);_(&quot;-&quot;_);@_)"/>
    <numFmt numFmtId="171" formatCode="0000&quot;A&quot;"/>
    <numFmt numFmtId="172" formatCode="0000&quot;E&quot;"/>
    <numFmt numFmtId="173" formatCode="0.0\x"/>
    <numFmt numFmtId="174" formatCode="0.00_);\(0.00\)"/>
    <numFmt numFmtId="175" formatCode="0.000%"/>
  </numFmts>
  <fonts count="80" x14ac:knownFonts="1">
    <font>
      <sz val="11"/>
      <color theme="1"/>
      <name val="Calibri"/>
      <family val="2"/>
      <scheme val="minor"/>
    </font>
    <font>
      <sz val="11"/>
      <color theme="1"/>
      <name val="Calibri"/>
      <family val="2"/>
      <scheme val="minor"/>
    </font>
    <font>
      <b/>
      <sz val="24"/>
      <color theme="1"/>
      <name val="Times New Roman"/>
      <family val="1"/>
    </font>
    <font>
      <b/>
      <i/>
      <sz val="12"/>
      <color rgb="FFFFFFFF"/>
      <name val="Times New Roman"/>
      <family val="1"/>
    </font>
    <font>
      <b/>
      <sz val="12"/>
      <color rgb="FFFFFFFF"/>
      <name val="Times New Roman"/>
      <family val="1"/>
    </font>
    <font>
      <sz val="11"/>
      <color theme="1"/>
      <name val="Times New Roman"/>
      <family val="1"/>
    </font>
    <font>
      <sz val="10"/>
      <color theme="1"/>
      <name val="Times New Roman"/>
      <family val="1"/>
    </font>
    <font>
      <i/>
      <sz val="10"/>
      <color theme="1"/>
      <name val="Times New Roman"/>
      <family val="1"/>
    </font>
    <font>
      <b/>
      <sz val="11"/>
      <color theme="1"/>
      <name val="Times New Roman"/>
      <family val="1"/>
    </font>
    <font>
      <sz val="10"/>
      <color rgb="FF000000"/>
      <name val="Times New Roman"/>
      <family val="1"/>
      <charset val="1"/>
    </font>
    <font>
      <sz val="10"/>
      <color rgb="FF0000FF"/>
      <name val="Times New Roman"/>
      <family val="1"/>
      <charset val="1"/>
    </font>
    <font>
      <i/>
      <sz val="10"/>
      <color rgb="FF000000"/>
      <name val="Times New Roman"/>
      <family val="1"/>
      <charset val="1"/>
    </font>
    <font>
      <i/>
      <sz val="10"/>
      <color theme="1"/>
      <name val="Times New Roman"/>
      <family val="1"/>
      <charset val="1"/>
    </font>
    <font>
      <b/>
      <sz val="12"/>
      <name val="Times New Roman"/>
      <family val="1"/>
    </font>
    <font>
      <sz val="12"/>
      <name val="Times New Roman"/>
      <family val="1"/>
    </font>
    <font>
      <i/>
      <sz val="10"/>
      <color rgb="FF000000"/>
      <name val="Times New Roman"/>
      <family val="1"/>
    </font>
    <font>
      <i/>
      <sz val="10"/>
      <name val="Times New Roman"/>
      <family val="1"/>
    </font>
    <font>
      <sz val="12"/>
      <color rgb="FF000000"/>
      <name val="Times New Roman"/>
      <family val="1"/>
    </font>
    <font>
      <b/>
      <sz val="12"/>
      <color rgb="FF000000"/>
      <name val="Times New Roman"/>
      <family val="1"/>
    </font>
    <font>
      <i/>
      <sz val="12"/>
      <color rgb="FF000000"/>
      <name val="Times New Roman"/>
      <family val="1"/>
    </font>
    <font>
      <i/>
      <sz val="12"/>
      <name val="Times New Roman"/>
      <family val="1"/>
    </font>
    <font>
      <sz val="12"/>
      <color theme="1"/>
      <name val="Times New Roman"/>
      <family val="1"/>
    </font>
    <font>
      <b/>
      <sz val="12"/>
      <color theme="1"/>
      <name val="Times New Roman"/>
      <family val="1"/>
    </font>
    <font>
      <sz val="28"/>
      <color theme="1"/>
      <name val="Times New Roman"/>
      <family val="1"/>
    </font>
    <font>
      <sz val="12"/>
      <color rgb="FF000000"/>
      <name val="Times New Roman"/>
      <family val="1"/>
      <charset val="1"/>
    </font>
    <font>
      <sz val="12"/>
      <color theme="1"/>
      <name val="Times New Roman"/>
      <family val="1"/>
      <charset val="1"/>
    </font>
    <font>
      <sz val="12"/>
      <color theme="1"/>
      <name val="Calibri"/>
      <family val="2"/>
      <scheme val="minor"/>
    </font>
    <font>
      <sz val="10"/>
      <color theme="1"/>
      <name val="Calibri"/>
      <family val="2"/>
      <scheme val="minor"/>
    </font>
    <font>
      <b/>
      <sz val="18"/>
      <color theme="1"/>
      <name val="Times New Roman"/>
      <family val="1"/>
    </font>
    <font>
      <sz val="11"/>
      <name val="Times New Roman"/>
      <family val="1"/>
    </font>
    <font>
      <b/>
      <sz val="11"/>
      <color theme="1"/>
      <name val="Calibri"/>
      <family val="2"/>
      <scheme val="minor"/>
    </font>
    <font>
      <b/>
      <sz val="12"/>
      <color theme="0"/>
      <name val="Times New Roman"/>
      <family val="1"/>
    </font>
    <font>
      <sz val="12"/>
      <color rgb="FF0000FF"/>
      <name val="Times New Roman"/>
      <family val="1"/>
    </font>
    <font>
      <i/>
      <sz val="12"/>
      <color theme="1"/>
      <name val="Times New Roman"/>
      <family val="1"/>
    </font>
    <font>
      <b/>
      <sz val="8"/>
      <color theme="1"/>
      <name val="Times New Roman"/>
      <family val="1"/>
    </font>
    <font>
      <sz val="8"/>
      <color theme="1"/>
      <name val="Times New Roman"/>
      <family val="1"/>
    </font>
    <font>
      <b/>
      <i/>
      <sz val="10"/>
      <color theme="0"/>
      <name val="Times New Roman"/>
      <family val="1"/>
    </font>
    <font>
      <i/>
      <sz val="11"/>
      <name val="Times New Roman"/>
      <family val="1"/>
    </font>
    <font>
      <sz val="11"/>
      <name val="Calibri"/>
      <family val="2"/>
      <scheme val="minor"/>
    </font>
    <font>
      <b/>
      <sz val="11"/>
      <name val="Calibri"/>
      <family val="2"/>
      <scheme val="minor"/>
    </font>
    <font>
      <b/>
      <sz val="16"/>
      <color theme="0"/>
      <name val="Times New Roman"/>
      <family val="1"/>
    </font>
    <font>
      <sz val="11"/>
      <color theme="0"/>
      <name val="Times New Roman"/>
      <family val="1"/>
    </font>
    <font>
      <sz val="12"/>
      <color theme="0"/>
      <name val="Times New Roman"/>
      <family val="1"/>
    </font>
    <font>
      <b/>
      <sz val="22"/>
      <color theme="1"/>
      <name val="Times New Roman"/>
      <family val="1"/>
    </font>
    <font>
      <sz val="12"/>
      <color rgb="FF7030A0"/>
      <name val="Times New Roman"/>
      <family val="1"/>
    </font>
    <font>
      <i/>
      <sz val="11"/>
      <name val="Calibri"/>
      <family val="2"/>
      <scheme val="minor"/>
    </font>
    <font>
      <b/>
      <sz val="11"/>
      <name val="Times New Roman"/>
      <family val="1"/>
    </font>
    <font>
      <i/>
      <sz val="11"/>
      <color theme="1" tint="0.499984740745262"/>
      <name val="Times New Roman"/>
      <family val="1"/>
    </font>
    <font>
      <sz val="12"/>
      <color theme="0" tint="-0.14999847407452621"/>
      <name val="Times New Roman"/>
      <family val="1"/>
    </font>
    <font>
      <b/>
      <sz val="22"/>
      <color theme="0"/>
      <name val="Times New Roman"/>
      <family val="1"/>
    </font>
    <font>
      <b/>
      <sz val="20"/>
      <color theme="0"/>
      <name val="Times New Roman"/>
      <family val="1"/>
    </font>
    <font>
      <b/>
      <sz val="28"/>
      <color theme="0"/>
      <name val="Times New Roman"/>
      <family val="1"/>
    </font>
    <font>
      <sz val="11"/>
      <color theme="0"/>
      <name val="Calibri"/>
      <family val="2"/>
      <scheme val="minor"/>
    </font>
    <font>
      <sz val="12"/>
      <color rgb="FF0070C0"/>
      <name val="Times New Roman"/>
      <family val="1"/>
    </font>
    <font>
      <sz val="12"/>
      <color rgb="FF00B050"/>
      <name val="Times New Roman"/>
      <family val="1"/>
    </font>
    <font>
      <sz val="12"/>
      <color rgb="FF018942"/>
      <name val="Times New Roman"/>
      <family val="1"/>
    </font>
    <font>
      <b/>
      <sz val="12"/>
      <color rgb="FF018942"/>
      <name val="Times New Roman"/>
      <family val="1"/>
    </font>
    <font>
      <i/>
      <sz val="12"/>
      <color rgb="FF018942"/>
      <name val="Times New Roman"/>
      <family val="1"/>
    </font>
    <font>
      <i/>
      <sz val="11"/>
      <color rgb="FF018942"/>
      <name val="Times New Roman"/>
      <family val="1"/>
    </font>
    <font>
      <sz val="12"/>
      <color theme="4" tint="-0.249977111117893"/>
      <name val="Times New Roman"/>
      <family val="1"/>
    </font>
    <font>
      <b/>
      <sz val="12"/>
      <color theme="4" tint="-0.249977111117893"/>
      <name val="Times New Roman"/>
      <family val="1"/>
    </font>
    <font>
      <sz val="12"/>
      <color theme="4" tint="-0.249977111117893"/>
      <name val="Times New Roman"/>
      <family val="1"/>
      <charset val="1"/>
    </font>
    <font>
      <sz val="12"/>
      <color theme="4" tint="-0.249977111117893"/>
      <name val="Calibri"/>
      <family val="2"/>
      <scheme val="minor"/>
    </font>
    <font>
      <i/>
      <sz val="10"/>
      <color rgb="FF018942"/>
      <name val="Times New Roman"/>
      <family val="1"/>
    </font>
    <font>
      <b/>
      <i/>
      <sz val="11"/>
      <color theme="4" tint="-0.249977111117893"/>
      <name val="Times New Roman"/>
      <family val="1"/>
    </font>
    <font>
      <i/>
      <sz val="10"/>
      <color theme="4" tint="-0.249977111117893"/>
      <name val="Times New Roman"/>
      <family val="1"/>
    </font>
    <font>
      <b/>
      <i/>
      <sz val="10"/>
      <color theme="4" tint="-0.249977111117893"/>
      <name val="Times New Roman"/>
      <family val="1"/>
    </font>
    <font>
      <sz val="11"/>
      <color theme="4" tint="-0.249977111117893"/>
      <name val="Times New Roman"/>
      <family val="1"/>
    </font>
    <font>
      <i/>
      <sz val="12"/>
      <color theme="4" tint="-0.249977111117893"/>
      <name val="Times New Roman"/>
      <family val="1"/>
    </font>
    <font>
      <sz val="11"/>
      <color rgb="FF018942"/>
      <name val="Times New Roman"/>
      <family val="1"/>
    </font>
    <font>
      <sz val="12"/>
      <color theme="7" tint="-0.249977111117893"/>
      <name val="Times New Roman"/>
      <family val="1"/>
    </font>
    <font>
      <sz val="12"/>
      <color theme="9" tint="-0.249977111117893"/>
      <name val="Times New Roman"/>
      <family val="1"/>
    </font>
    <font>
      <b/>
      <sz val="11"/>
      <color rgb="FF000000"/>
      <name val="Times New Roman"/>
      <family val="1"/>
    </font>
    <font>
      <sz val="11"/>
      <color rgb="FF000000"/>
      <name val="Times New Roman"/>
      <family val="1"/>
    </font>
    <font>
      <b/>
      <sz val="18"/>
      <color theme="0"/>
      <name val="Times New Roman"/>
      <family val="1"/>
    </font>
    <font>
      <b/>
      <sz val="18"/>
      <color theme="1"/>
      <name val="Calibri"/>
      <family val="2"/>
      <scheme val="minor"/>
    </font>
    <font>
      <i/>
      <sz val="11"/>
      <color theme="1"/>
      <name val="Times New Roman"/>
      <family val="1"/>
    </font>
    <font>
      <b/>
      <sz val="26"/>
      <color theme="1"/>
      <name val="Times New Roman"/>
      <family val="1"/>
    </font>
    <font>
      <b/>
      <sz val="14"/>
      <color theme="0"/>
      <name val="Times New Roman"/>
      <family val="1"/>
    </font>
    <font>
      <b/>
      <sz val="14"/>
      <color theme="1"/>
      <name val="Times New Roman"/>
      <family val="1"/>
    </font>
  </fonts>
  <fills count="10">
    <fill>
      <patternFill patternType="none"/>
    </fill>
    <fill>
      <patternFill patternType="gray125"/>
    </fill>
    <fill>
      <patternFill patternType="solid">
        <fgColor rgb="FF850F88"/>
        <bgColor rgb="FF000000"/>
      </patternFill>
    </fill>
    <fill>
      <patternFill patternType="solid">
        <fgColor theme="0"/>
        <bgColor indexed="64"/>
      </patternFill>
    </fill>
    <fill>
      <patternFill patternType="solid">
        <fgColor theme="0" tint="-0.14999847407452621"/>
        <bgColor indexed="64"/>
      </patternFill>
    </fill>
    <fill>
      <patternFill patternType="solid">
        <fgColor rgb="FF850F88"/>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rgb="FF000000"/>
      </patternFill>
    </fill>
    <fill>
      <patternFill patternType="solid">
        <fgColor rgb="FFF0E6FE"/>
        <bgColor indexed="64"/>
      </patternFill>
    </fill>
  </fills>
  <borders count="22">
    <border>
      <left/>
      <right/>
      <top/>
      <bottom/>
      <diagonal/>
    </border>
    <border>
      <left/>
      <right/>
      <top style="thin">
        <color indexed="64"/>
      </top>
      <bottom/>
      <diagonal/>
    </border>
    <border>
      <left/>
      <right/>
      <top/>
      <bottom style="thin">
        <color indexed="64"/>
      </bottom>
      <diagonal/>
    </border>
    <border>
      <left/>
      <right/>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theme="0"/>
      </bottom>
      <diagonal/>
    </border>
    <border>
      <left/>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510">
    <xf numFmtId="0" fontId="0" fillId="0" borderId="0" xfId="0"/>
    <xf numFmtId="0" fontId="3" fillId="2" borderId="0" xfId="0" applyFont="1" applyFill="1" applyAlignment="1">
      <alignment horizontal="center"/>
    </xf>
    <xf numFmtId="0" fontId="4" fillId="2" borderId="0" xfId="0" applyFont="1" applyFill="1" applyAlignment="1">
      <alignment horizontal="center"/>
    </xf>
    <xf numFmtId="0" fontId="5" fillId="0" borderId="0" xfId="0" applyFont="1"/>
    <xf numFmtId="164" fontId="0" fillId="0" borderId="0" xfId="0" applyNumberFormat="1"/>
    <xf numFmtId="10" fontId="7" fillId="0" borderId="0" xfId="1" applyNumberFormat="1" applyFont="1" applyAlignment="1">
      <alignment horizontal="center"/>
    </xf>
    <xf numFmtId="0" fontId="5" fillId="0" borderId="0" xfId="0" applyFont="1" applyAlignment="1">
      <alignment horizontal="center"/>
    </xf>
    <xf numFmtId="0" fontId="0" fillId="0" borderId="0" xfId="0" applyAlignment="1">
      <alignment horizontal="center"/>
    </xf>
    <xf numFmtId="0" fontId="7" fillId="0" borderId="2" xfId="0" applyFont="1" applyBorder="1"/>
    <xf numFmtId="0" fontId="7" fillId="0" borderId="2" xfId="0" applyFont="1" applyBorder="1" applyAlignment="1">
      <alignment horizontal="center"/>
    </xf>
    <xf numFmtId="10" fontId="7" fillId="0" borderId="2" xfId="1" applyNumberFormat="1" applyFont="1" applyBorder="1" applyAlignment="1">
      <alignment horizontal="center"/>
    </xf>
    <xf numFmtId="10" fontId="7" fillId="0" borderId="2" xfId="1" applyNumberFormat="1" applyFont="1" applyFill="1" applyBorder="1" applyAlignment="1">
      <alignment horizontal="center"/>
    </xf>
    <xf numFmtId="0" fontId="7" fillId="0" borderId="0" xfId="0" applyFont="1" applyAlignment="1">
      <alignment horizontal="center"/>
    </xf>
    <xf numFmtId="10" fontId="6" fillId="0" borderId="2" xfId="0" applyNumberFormat="1" applyFont="1" applyBorder="1" applyAlignment="1">
      <alignment horizontal="center"/>
    </xf>
    <xf numFmtId="0" fontId="9" fillId="0" borderId="0" xfId="0" applyFont="1"/>
    <xf numFmtId="0" fontId="10" fillId="0" borderId="0" xfId="0" applyFont="1" applyAlignment="1">
      <alignment horizontal="center"/>
    </xf>
    <xf numFmtId="0" fontId="11" fillId="0" borderId="3" xfId="0" applyFont="1" applyBorder="1"/>
    <xf numFmtId="10" fontId="12" fillId="0" borderId="3" xfId="1" applyNumberFormat="1" applyFont="1" applyFill="1" applyBorder="1" applyAlignment="1">
      <alignment horizontal="center"/>
    </xf>
    <xf numFmtId="0" fontId="11" fillId="0" borderId="0" xfId="0" applyFont="1"/>
    <xf numFmtId="10" fontId="12" fillId="0" borderId="0" xfId="1" applyNumberFormat="1" applyFont="1" applyFill="1" applyAlignment="1">
      <alignment horizontal="center"/>
    </xf>
    <xf numFmtId="0" fontId="11" fillId="0" borderId="2" xfId="0" applyFont="1" applyBorder="1"/>
    <xf numFmtId="10" fontId="12" fillId="0" borderId="2" xfId="1" applyNumberFormat="1" applyFont="1" applyFill="1" applyBorder="1" applyAlignment="1">
      <alignment horizontal="center"/>
    </xf>
    <xf numFmtId="43" fontId="12" fillId="0" borderId="0" xfId="1" applyNumberFormat="1" applyFont="1" applyFill="1" applyAlignment="1">
      <alignment horizontal="center"/>
    </xf>
    <xf numFmtId="0" fontId="5" fillId="3" borderId="0" xfId="0" applyFont="1" applyFill="1"/>
    <xf numFmtId="0" fontId="13" fillId="3" borderId="0" xfId="0" applyFont="1" applyFill="1" applyAlignment="1">
      <alignment horizontal="center"/>
    </xf>
    <xf numFmtId="0" fontId="14" fillId="0" borderId="1" xfId="0" applyFont="1" applyBorder="1"/>
    <xf numFmtId="0" fontId="15" fillId="0" borderId="2" xfId="0" applyFont="1" applyBorder="1"/>
    <xf numFmtId="6" fontId="16" fillId="3" borderId="2" xfId="0" applyNumberFormat="1" applyFont="1" applyFill="1" applyBorder="1" applyAlignment="1">
      <alignment horizontal="center"/>
    </xf>
    <xf numFmtId="10" fontId="16" fillId="3" borderId="2" xfId="1" applyNumberFormat="1" applyFont="1" applyFill="1" applyBorder="1" applyAlignment="1">
      <alignment horizontal="center"/>
    </xf>
    <xf numFmtId="0" fontId="17" fillId="0" borderId="0" xfId="0" applyFont="1"/>
    <xf numFmtId="0" fontId="17" fillId="0" borderId="1" xfId="0" applyFont="1" applyBorder="1"/>
    <xf numFmtId="0" fontId="15" fillId="0" borderId="0" xfId="0" applyFont="1"/>
    <xf numFmtId="10" fontId="16" fillId="3" borderId="0" xfId="0" applyNumberFormat="1" applyFont="1" applyFill="1" applyAlignment="1">
      <alignment horizontal="center"/>
    </xf>
    <xf numFmtId="2" fontId="16" fillId="3" borderId="2" xfId="0" applyNumberFormat="1" applyFont="1" applyFill="1" applyBorder="1" applyAlignment="1">
      <alignment horizontal="center"/>
    </xf>
    <xf numFmtId="0" fontId="14" fillId="3" borderId="0" xfId="0" applyFont="1" applyFill="1" applyAlignment="1">
      <alignment horizontal="center"/>
    </xf>
    <xf numFmtId="10" fontId="16" fillId="3" borderId="2" xfId="0" applyNumberFormat="1" applyFont="1" applyFill="1" applyBorder="1" applyAlignment="1">
      <alignment horizontal="center"/>
    </xf>
    <xf numFmtId="0" fontId="18" fillId="0" borderId="4" xfId="0" applyFont="1" applyBorder="1"/>
    <xf numFmtId="0" fontId="19" fillId="0" borderId="0" xfId="0" applyFont="1"/>
    <xf numFmtId="0" fontId="20" fillId="3" borderId="0" xfId="0" applyFont="1" applyFill="1" applyAlignment="1">
      <alignment horizontal="center"/>
    </xf>
    <xf numFmtId="6" fontId="20" fillId="3" borderId="0" xfId="0" applyNumberFormat="1" applyFont="1" applyFill="1" applyAlignment="1">
      <alignment horizontal="center"/>
    </xf>
    <xf numFmtId="0" fontId="17" fillId="0" borderId="4" xfId="0" applyFont="1" applyBorder="1"/>
    <xf numFmtId="6" fontId="14" fillId="3" borderId="0" xfId="0" applyNumberFormat="1" applyFont="1" applyFill="1" applyAlignment="1">
      <alignment horizontal="center"/>
    </xf>
    <xf numFmtId="165" fontId="16" fillId="3" borderId="2" xfId="1" applyNumberFormat="1" applyFont="1" applyFill="1" applyBorder="1" applyAlignment="1">
      <alignment horizontal="center"/>
    </xf>
    <xf numFmtId="9" fontId="16" fillId="3" borderId="0" xfId="0" applyNumberFormat="1" applyFont="1" applyFill="1" applyAlignment="1">
      <alignment horizontal="center"/>
    </xf>
    <xf numFmtId="10" fontId="15" fillId="0" borderId="2" xfId="0" applyNumberFormat="1" applyFont="1" applyBorder="1"/>
    <xf numFmtId="164" fontId="14" fillId="3" borderId="0" xfId="0" applyNumberFormat="1" applyFont="1" applyFill="1" applyAlignment="1">
      <alignment horizontal="center"/>
    </xf>
    <xf numFmtId="0" fontId="13" fillId="0" borderId="4" xfId="0" applyFont="1" applyBorder="1"/>
    <xf numFmtId="0" fontId="13" fillId="0" borderId="0" xfId="0" applyFont="1"/>
    <xf numFmtId="0" fontId="17" fillId="0" borderId="2" xfId="0" applyFont="1" applyBorder="1"/>
    <xf numFmtId="164" fontId="5" fillId="0" borderId="0" xfId="0" applyNumberFormat="1" applyFont="1"/>
    <xf numFmtId="164" fontId="21" fillId="0" borderId="0" xfId="0" applyNumberFormat="1" applyFont="1"/>
    <xf numFmtId="0" fontId="21" fillId="0" borderId="0" xfId="0" applyFont="1"/>
    <xf numFmtId="0" fontId="21" fillId="0" borderId="1" xfId="0" applyFont="1" applyBorder="1"/>
    <xf numFmtId="164" fontId="21" fillId="0" borderId="4" xfId="0" applyNumberFormat="1" applyFont="1" applyBorder="1" applyAlignment="1">
      <alignment horizontal="center"/>
    </xf>
    <xf numFmtId="164" fontId="21" fillId="0" borderId="0" xfId="0" applyNumberFormat="1" applyFont="1" applyAlignment="1">
      <alignment horizontal="center"/>
    </xf>
    <xf numFmtId="164" fontId="21" fillId="0" borderId="1" xfId="0" applyNumberFormat="1" applyFont="1" applyBorder="1" applyAlignment="1">
      <alignment horizontal="center"/>
    </xf>
    <xf numFmtId="10" fontId="6" fillId="0" borderId="0" xfId="1" applyNumberFormat="1" applyFont="1" applyAlignment="1">
      <alignment horizontal="center"/>
    </xf>
    <xf numFmtId="2" fontId="6" fillId="0" borderId="2" xfId="0" applyNumberFormat="1" applyFont="1" applyBorder="1" applyAlignment="1">
      <alignment horizontal="center"/>
    </xf>
    <xf numFmtId="2" fontId="7" fillId="0" borderId="2" xfId="0" applyNumberFormat="1" applyFont="1" applyBorder="1" applyAlignment="1">
      <alignment horizontal="center"/>
    </xf>
    <xf numFmtId="10" fontId="7" fillId="0" borderId="2" xfId="0" applyNumberFormat="1" applyFont="1" applyBorder="1" applyAlignment="1">
      <alignment horizontal="center"/>
    </xf>
    <xf numFmtId="165" fontId="7" fillId="0" borderId="2" xfId="0" applyNumberFormat="1" applyFont="1" applyBorder="1" applyAlignment="1">
      <alignment horizontal="center"/>
    </xf>
    <xf numFmtId="0" fontId="22" fillId="0" borderId="0" xfId="0" applyFont="1"/>
    <xf numFmtId="0" fontId="22" fillId="0" borderId="4" xfId="0" applyFont="1" applyBorder="1"/>
    <xf numFmtId="0" fontId="21" fillId="0" borderId="4" xfId="0" applyFont="1" applyBorder="1"/>
    <xf numFmtId="0" fontId="7" fillId="0" borderId="0" xfId="0" applyFont="1"/>
    <xf numFmtId="0" fontId="23" fillId="0" borderId="0" xfId="0" applyFont="1"/>
    <xf numFmtId="164" fontId="22" fillId="0" borderId="1" xfId="0" applyNumberFormat="1" applyFont="1" applyBorder="1"/>
    <xf numFmtId="164" fontId="22" fillId="0" borderId="1" xfId="0" applyNumberFormat="1" applyFont="1" applyBorder="1" applyAlignment="1">
      <alignment horizontal="center"/>
    </xf>
    <xf numFmtId="0" fontId="21" fillId="0" borderId="0" xfId="0" applyFont="1" applyAlignment="1">
      <alignment horizontal="center"/>
    </xf>
    <xf numFmtId="0" fontId="22" fillId="0" borderId="1" xfId="0" applyFont="1" applyBorder="1"/>
    <xf numFmtId="0" fontId="6" fillId="0" borderId="0" xfId="0" applyFont="1"/>
    <xf numFmtId="0" fontId="6" fillId="0" borderId="0" xfId="0" applyFont="1" applyAlignment="1">
      <alignment horizontal="center"/>
    </xf>
    <xf numFmtId="0" fontId="18" fillId="0" borderId="1" xfId="0" applyFont="1" applyBorder="1"/>
    <xf numFmtId="0" fontId="24" fillId="0" borderId="1" xfId="0" applyFont="1" applyBorder="1"/>
    <xf numFmtId="164" fontId="25" fillId="0" borderId="1" xfId="0" applyNumberFormat="1" applyFont="1" applyBorder="1" applyAlignment="1">
      <alignment horizontal="center"/>
    </xf>
    <xf numFmtId="0" fontId="26" fillId="0" borderId="0" xfId="0" applyFont="1" applyAlignment="1">
      <alignment horizontal="center"/>
    </xf>
    <xf numFmtId="0" fontId="27" fillId="0" borderId="0" xfId="0" applyFont="1" applyAlignment="1">
      <alignment horizontal="center"/>
    </xf>
    <xf numFmtId="0" fontId="22" fillId="3" borderId="0" xfId="0" applyFont="1" applyFill="1"/>
    <xf numFmtId="0" fontId="21" fillId="3" borderId="0" xfId="0" applyFont="1" applyFill="1" applyAlignment="1">
      <alignment horizontal="center"/>
    </xf>
    <xf numFmtId="0" fontId="22" fillId="3" borderId="0" xfId="0" applyFont="1" applyFill="1" applyAlignment="1">
      <alignment horizontal="left"/>
    </xf>
    <xf numFmtId="164" fontId="21" fillId="0" borderId="2" xfId="0" applyNumberFormat="1" applyFont="1" applyBorder="1" applyAlignment="1">
      <alignment horizontal="center"/>
    </xf>
    <xf numFmtId="0" fontId="4" fillId="0" borderId="0" xfId="0" applyFont="1" applyAlignment="1">
      <alignment horizontal="center"/>
    </xf>
    <xf numFmtId="0" fontId="5" fillId="0" borderId="2" xfId="0" applyFont="1" applyBorder="1"/>
    <xf numFmtId="0" fontId="8" fillId="0" borderId="2" xfId="0" applyFont="1" applyBorder="1"/>
    <xf numFmtId="0" fontId="8" fillId="0" borderId="2" xfId="0" applyFont="1" applyBorder="1" applyAlignment="1">
      <alignment horizontal="center"/>
    </xf>
    <xf numFmtId="2" fontId="5" fillId="0" borderId="0" xfId="0" applyNumberFormat="1" applyFont="1" applyAlignment="1">
      <alignment horizontal="center"/>
    </xf>
    <xf numFmtId="9" fontId="5" fillId="0" borderId="0" xfId="1" applyFont="1" applyAlignment="1">
      <alignment horizontal="center"/>
    </xf>
    <xf numFmtId="165" fontId="5" fillId="0" borderId="0" xfId="0" applyNumberFormat="1" applyFont="1"/>
    <xf numFmtId="167" fontId="29" fillId="0" borderId="0" xfId="0" applyNumberFormat="1" applyFont="1" applyAlignment="1">
      <alignment horizontal="center"/>
    </xf>
    <xf numFmtId="165" fontId="5" fillId="0" borderId="0" xfId="1" applyNumberFormat="1" applyFont="1" applyAlignment="1">
      <alignment horizontal="center"/>
    </xf>
    <xf numFmtId="0" fontId="5" fillId="4" borderId="0" xfId="0" applyFont="1" applyFill="1"/>
    <xf numFmtId="164" fontId="5" fillId="3" borderId="0" xfId="0" applyNumberFormat="1" applyFont="1" applyFill="1" applyAlignment="1">
      <alignment horizontal="right"/>
    </xf>
    <xf numFmtId="165" fontId="5" fillId="3" borderId="0" xfId="0" applyNumberFormat="1" applyFont="1" applyFill="1"/>
    <xf numFmtId="0" fontId="5" fillId="3" borderId="2" xfId="0" applyFont="1" applyFill="1" applyBorder="1"/>
    <xf numFmtId="2" fontId="5" fillId="3" borderId="0" xfId="0" applyNumberFormat="1" applyFont="1" applyFill="1" applyAlignment="1">
      <alignment horizontal="right"/>
    </xf>
    <xf numFmtId="2" fontId="5" fillId="3" borderId="0" xfId="0" applyNumberFormat="1" applyFont="1" applyFill="1" applyAlignment="1">
      <alignment horizontal="center"/>
    </xf>
    <xf numFmtId="2" fontId="5" fillId="3" borderId="4" xfId="0" applyNumberFormat="1" applyFont="1" applyFill="1" applyBorder="1" applyAlignment="1">
      <alignment horizontal="center"/>
    </xf>
    <xf numFmtId="164" fontId="5" fillId="3" borderId="4" xfId="0" applyNumberFormat="1" applyFont="1" applyFill="1" applyBorder="1" applyAlignment="1">
      <alignment horizontal="center"/>
    </xf>
    <xf numFmtId="165" fontId="5" fillId="3" borderId="4" xfId="1" applyNumberFormat="1" applyFont="1" applyFill="1" applyBorder="1" applyAlignment="1">
      <alignment horizontal="center"/>
    </xf>
    <xf numFmtId="9" fontId="5" fillId="3" borderId="0" xfId="1" applyFont="1" applyFill="1" applyAlignment="1">
      <alignment horizontal="center"/>
    </xf>
    <xf numFmtId="2" fontId="21" fillId="0" borderId="0" xfId="0" applyNumberFormat="1" applyFont="1"/>
    <xf numFmtId="9" fontId="21" fillId="0" borderId="0" xfId="1" applyFont="1"/>
    <xf numFmtId="164" fontId="21" fillId="0" borderId="0" xfId="2" applyNumberFormat="1" applyFont="1" applyAlignment="1"/>
    <xf numFmtId="165" fontId="21" fillId="0" borderId="0" xfId="1" applyNumberFormat="1" applyFont="1"/>
    <xf numFmtId="0" fontId="18"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xf>
    <xf numFmtId="165" fontId="18" fillId="0" borderId="0" xfId="1" applyNumberFormat="1" applyFont="1" applyBorder="1" applyAlignment="1">
      <alignment horizontal="center" vertical="center" wrapText="1"/>
    </xf>
    <xf numFmtId="2" fontId="21" fillId="0" borderId="0" xfId="0" applyNumberFormat="1" applyFont="1" applyAlignment="1">
      <alignment horizontal="center"/>
    </xf>
    <xf numFmtId="164" fontId="21" fillId="0" borderId="0" xfId="2" applyNumberFormat="1" applyFont="1" applyAlignment="1">
      <alignment horizontal="center"/>
    </xf>
    <xf numFmtId="165" fontId="21" fillId="0" borderId="0" xfId="1" applyNumberFormat="1" applyFont="1" applyAlignment="1">
      <alignment horizontal="center"/>
    </xf>
    <xf numFmtId="165" fontId="21" fillId="0" borderId="1" xfId="1" applyNumberFormat="1" applyFont="1" applyBorder="1" applyAlignment="1">
      <alignment horizontal="center"/>
    </xf>
    <xf numFmtId="165" fontId="21" fillId="0" borderId="0" xfId="1" applyNumberFormat="1" applyFont="1" applyBorder="1" applyAlignment="1">
      <alignment horizontal="center"/>
    </xf>
    <xf numFmtId="0" fontId="21" fillId="0" borderId="0" xfId="0" applyFont="1" applyAlignment="1">
      <alignment horizontal="left"/>
    </xf>
    <xf numFmtId="166" fontId="21" fillId="0" borderId="0" xfId="0" applyNumberFormat="1" applyFont="1" applyAlignment="1">
      <alignment horizontal="center"/>
    </xf>
    <xf numFmtId="165" fontId="21" fillId="0" borderId="0" xfId="1" applyNumberFormat="1" applyFont="1" applyFill="1" applyAlignment="1">
      <alignment horizontal="center"/>
    </xf>
    <xf numFmtId="0" fontId="22" fillId="0" borderId="7" xfId="0" applyFont="1" applyBorder="1" applyAlignment="1">
      <alignment horizontal="left"/>
    </xf>
    <xf numFmtId="0" fontId="21" fillId="0" borderId="1" xfId="0" applyFont="1" applyBorder="1" applyAlignment="1">
      <alignment horizontal="left"/>
    </xf>
    <xf numFmtId="0" fontId="21" fillId="0" borderId="1" xfId="0" applyFont="1" applyBorder="1" applyAlignment="1">
      <alignment horizontal="center"/>
    </xf>
    <xf numFmtId="2" fontId="21" fillId="0" borderId="1" xfId="0" applyNumberFormat="1" applyFont="1" applyBorder="1" applyAlignment="1">
      <alignment horizontal="center"/>
    </xf>
    <xf numFmtId="165" fontId="21" fillId="0" borderId="1" xfId="1" applyNumberFormat="1" applyFont="1" applyFill="1" applyBorder="1" applyAlignment="1">
      <alignment horizontal="center"/>
    </xf>
    <xf numFmtId="0" fontId="22" fillId="0" borderId="9" xfId="0" applyFont="1" applyBorder="1" applyAlignment="1">
      <alignment horizontal="left"/>
    </xf>
    <xf numFmtId="0" fontId="21" fillId="0" borderId="2" xfId="0" applyFont="1" applyBorder="1" applyAlignment="1">
      <alignment horizontal="left"/>
    </xf>
    <xf numFmtId="0" fontId="21" fillId="0" borderId="2" xfId="0" applyFont="1" applyBorder="1" applyAlignment="1">
      <alignment horizontal="center"/>
    </xf>
    <xf numFmtId="2" fontId="21" fillId="0" borderId="2" xfId="0" applyNumberFormat="1" applyFont="1" applyBorder="1" applyAlignment="1">
      <alignment horizontal="center"/>
    </xf>
    <xf numFmtId="0" fontId="22" fillId="0" borderId="10" xfId="0" applyFont="1" applyBorder="1" applyAlignment="1">
      <alignment horizontal="left"/>
    </xf>
    <xf numFmtId="0" fontId="21" fillId="0" borderId="6" xfId="0" applyFont="1" applyBorder="1" applyAlignment="1">
      <alignment horizontal="left"/>
    </xf>
    <xf numFmtId="0" fontId="21" fillId="0" borderId="6" xfId="0" applyFont="1" applyBorder="1" applyAlignment="1">
      <alignment horizontal="center"/>
    </xf>
    <xf numFmtId="164" fontId="21" fillId="0" borderId="6" xfId="0" applyNumberFormat="1" applyFont="1" applyBorder="1" applyAlignment="1">
      <alignment horizontal="center"/>
    </xf>
    <xf numFmtId="0" fontId="22" fillId="0" borderId="11" xfId="0" applyFont="1" applyBorder="1" applyAlignment="1">
      <alignment horizontal="left"/>
    </xf>
    <xf numFmtId="0" fontId="21" fillId="0" borderId="3" xfId="0" applyFont="1" applyBorder="1" applyAlignment="1">
      <alignment horizontal="left"/>
    </xf>
    <xf numFmtId="0" fontId="21" fillId="0" borderId="3" xfId="0" applyFont="1" applyBorder="1" applyAlignment="1">
      <alignment horizontal="center"/>
    </xf>
    <xf numFmtId="164" fontId="21" fillId="0" borderId="3" xfId="0" applyNumberFormat="1" applyFont="1" applyBorder="1" applyAlignment="1">
      <alignment horizontal="center"/>
    </xf>
    <xf numFmtId="168" fontId="21" fillId="0" borderId="0" xfId="0" applyNumberFormat="1" applyFont="1" applyAlignment="1">
      <alignment horizontal="center"/>
    </xf>
    <xf numFmtId="165" fontId="21" fillId="0" borderId="2" xfId="1" applyNumberFormat="1" applyFont="1" applyBorder="1" applyAlignment="1">
      <alignment horizontal="center"/>
    </xf>
    <xf numFmtId="0" fontId="22" fillId="0" borderId="0" xfId="0" applyFont="1" applyAlignment="1">
      <alignment horizontal="left"/>
    </xf>
    <xf numFmtId="2" fontId="21" fillId="0" borderId="3" xfId="0" applyNumberFormat="1" applyFont="1" applyBorder="1" applyAlignment="1">
      <alignment horizontal="center"/>
    </xf>
    <xf numFmtId="165" fontId="21" fillId="0" borderId="6" xfId="1" applyNumberFormat="1" applyFont="1" applyBorder="1" applyAlignment="1">
      <alignment horizontal="center"/>
    </xf>
    <xf numFmtId="165" fontId="21" fillId="0" borderId="3" xfId="1" applyNumberFormat="1" applyFont="1" applyBorder="1" applyAlignment="1">
      <alignment horizontal="center"/>
    </xf>
    <xf numFmtId="165" fontId="32" fillId="0" borderId="0" xfId="1" applyNumberFormat="1" applyFont="1" applyFill="1" applyAlignment="1">
      <alignment horizontal="center"/>
    </xf>
    <xf numFmtId="164" fontId="19" fillId="0" borderId="0" xfId="0" applyNumberFormat="1" applyFont="1" applyAlignment="1">
      <alignment horizontal="center" vertical="center"/>
    </xf>
    <xf numFmtId="2" fontId="19" fillId="0" borderId="0" xfId="0" applyNumberFormat="1" applyFont="1" applyAlignment="1">
      <alignment horizontal="center" vertical="center"/>
    </xf>
    <xf numFmtId="2" fontId="33" fillId="0" borderId="0" xfId="0" applyNumberFormat="1" applyFont="1" applyAlignment="1">
      <alignment horizontal="center" vertical="center" wrapText="1"/>
    </xf>
    <xf numFmtId="9" fontId="33" fillId="0" borderId="0" xfId="1" applyFont="1" applyBorder="1" applyAlignment="1">
      <alignment horizontal="center" vertical="center" wrapText="1"/>
    </xf>
    <xf numFmtId="0" fontId="19" fillId="0" borderId="0" xfId="0" applyFont="1" applyAlignment="1">
      <alignment vertical="center"/>
    </xf>
    <xf numFmtId="164" fontId="31" fillId="5" borderId="0" xfId="0" applyNumberFormat="1" applyFont="1" applyFill="1" applyAlignment="1">
      <alignment horizontal="centerContinuous" vertical="center"/>
    </xf>
    <xf numFmtId="2" fontId="31" fillId="5" borderId="0" xfId="0" applyNumberFormat="1" applyFont="1" applyFill="1" applyAlignment="1">
      <alignment horizontal="centerContinuous" vertical="center"/>
    </xf>
    <xf numFmtId="9" fontId="31" fillId="5" borderId="0" xfId="1" applyFont="1" applyFill="1" applyAlignment="1">
      <alignment horizontal="centerContinuous" vertical="center"/>
    </xf>
    <xf numFmtId="164" fontId="31" fillId="5" borderId="0" xfId="2" applyNumberFormat="1" applyFont="1" applyFill="1" applyAlignment="1">
      <alignment horizontal="centerContinuous" vertical="center"/>
    </xf>
    <xf numFmtId="165" fontId="31" fillId="5" borderId="0" xfId="1" applyNumberFormat="1" applyFont="1" applyFill="1" applyAlignment="1">
      <alignment horizontal="centerContinuous" vertical="center"/>
    </xf>
    <xf numFmtId="0" fontId="31" fillId="5" borderId="0" xfId="0" applyFont="1" applyFill="1" applyAlignment="1">
      <alignment horizontal="left" vertical="center"/>
    </xf>
    <xf numFmtId="164" fontId="31" fillId="5" borderId="0" xfId="0" applyNumberFormat="1" applyFont="1" applyFill="1" applyAlignment="1">
      <alignment horizontal="left" vertical="center"/>
    </xf>
    <xf numFmtId="2" fontId="31" fillId="5" borderId="0" xfId="0" applyNumberFormat="1" applyFont="1" applyFill="1" applyAlignment="1">
      <alignment horizontal="left" vertical="center"/>
    </xf>
    <xf numFmtId="165" fontId="31" fillId="5" borderId="0" xfId="1" applyNumberFormat="1" applyFont="1" applyFill="1" applyAlignment="1">
      <alignment horizontal="left" vertical="center"/>
    </xf>
    <xf numFmtId="164" fontId="31" fillId="5" borderId="0" xfId="2" applyNumberFormat="1" applyFont="1" applyFill="1" applyAlignment="1">
      <alignment horizontal="center" vertical="center"/>
    </xf>
    <xf numFmtId="165" fontId="31" fillId="5" borderId="0" xfId="1" applyNumberFormat="1" applyFont="1" applyFill="1" applyAlignment="1">
      <alignment horizontal="center" vertical="center"/>
    </xf>
    <xf numFmtId="165" fontId="31" fillId="5" borderId="0" xfId="0" applyNumberFormat="1" applyFont="1" applyFill="1" applyAlignment="1">
      <alignment horizontal="left" vertical="center"/>
    </xf>
    <xf numFmtId="0" fontId="34" fillId="0" borderId="0" xfId="0" applyFont="1"/>
    <xf numFmtId="0" fontId="35" fillId="0" borderId="0" xfId="0" applyFont="1"/>
    <xf numFmtId="0" fontId="34" fillId="3" borderId="0" xfId="0" applyFont="1" applyFill="1" applyAlignment="1">
      <alignment horizontal="center"/>
    </xf>
    <xf numFmtId="0" fontId="34" fillId="3" borderId="0" xfId="0" applyFont="1" applyFill="1" applyAlignment="1">
      <alignment horizontal="left"/>
    </xf>
    <xf numFmtId="0" fontId="35" fillId="3" borderId="4" xfId="0" applyFont="1" applyFill="1" applyBorder="1" applyAlignment="1">
      <alignment horizontal="center"/>
    </xf>
    <xf numFmtId="0" fontId="34" fillId="3" borderId="0" xfId="0" applyFont="1" applyFill="1"/>
    <xf numFmtId="164" fontId="8" fillId="0" borderId="2" xfId="0" applyNumberFormat="1" applyFont="1" applyBorder="1" applyAlignment="1">
      <alignment horizontal="center"/>
    </xf>
    <xf numFmtId="2" fontId="8" fillId="0" borderId="2" xfId="0" applyNumberFormat="1" applyFont="1" applyBorder="1" applyAlignment="1">
      <alignment horizontal="center"/>
    </xf>
    <xf numFmtId="165" fontId="8" fillId="0" borderId="2" xfId="1" applyNumberFormat="1" applyFont="1" applyBorder="1" applyAlignment="1">
      <alignment horizontal="center"/>
    </xf>
    <xf numFmtId="0" fontId="14" fillId="0" borderId="1" xfId="0" applyFont="1" applyBorder="1" applyAlignment="1">
      <alignment horizontal="left"/>
    </xf>
    <xf numFmtId="164" fontId="14" fillId="0" borderId="1" xfId="0" applyNumberFormat="1" applyFont="1" applyBorder="1" applyAlignment="1">
      <alignment horizontal="center"/>
    </xf>
    <xf numFmtId="164" fontId="14" fillId="0" borderId="0" xfId="0" applyNumberFormat="1" applyFont="1" applyAlignment="1">
      <alignment horizontal="center"/>
    </xf>
    <xf numFmtId="0" fontId="37" fillId="0" borderId="2" xfId="0" applyFont="1" applyBorder="1" applyAlignment="1">
      <alignment horizontal="left"/>
    </xf>
    <xf numFmtId="10" fontId="14" fillId="0" borderId="2" xfId="0" applyNumberFormat="1" applyFont="1" applyBorder="1" applyAlignment="1">
      <alignment horizontal="center"/>
    </xf>
    <xf numFmtId="165" fontId="37" fillId="0" borderId="0" xfId="1" applyNumberFormat="1" applyFont="1" applyFill="1" applyBorder="1" applyAlignment="1">
      <alignment horizontal="center"/>
    </xf>
    <xf numFmtId="0" fontId="14" fillId="0" borderId="0" xfId="0" applyFont="1" applyAlignment="1">
      <alignment horizontal="left"/>
    </xf>
    <xf numFmtId="0" fontId="14" fillId="0" borderId="0" xfId="0" applyFont="1"/>
    <xf numFmtId="165" fontId="37" fillId="0" borderId="2" xfId="1" applyNumberFormat="1" applyFont="1" applyFill="1" applyBorder="1" applyAlignment="1">
      <alignment horizontal="center"/>
    </xf>
    <xf numFmtId="0" fontId="13" fillId="0" borderId="1" xfId="0" applyFont="1" applyBorder="1" applyAlignment="1">
      <alignment horizontal="left"/>
    </xf>
    <xf numFmtId="164" fontId="13" fillId="0" borderId="1" xfId="0" applyNumberFormat="1" applyFont="1" applyBorder="1" applyAlignment="1">
      <alignment horizontal="center"/>
    </xf>
    <xf numFmtId="0" fontId="38" fillId="0" borderId="0" xfId="0" applyFont="1"/>
    <xf numFmtId="0" fontId="39" fillId="0" borderId="0" xfId="0" applyFont="1"/>
    <xf numFmtId="0" fontId="13" fillId="0" borderId="4" xfId="0" applyFont="1" applyBorder="1" applyAlignment="1">
      <alignment horizontal="left"/>
    </xf>
    <xf numFmtId="5" fontId="13" fillId="0" borderId="0" xfId="0" applyNumberFormat="1" applyFont="1" applyAlignment="1">
      <alignment horizontal="center"/>
    </xf>
    <xf numFmtId="164" fontId="13" fillId="0" borderId="0" xfId="0" applyNumberFormat="1" applyFont="1" applyAlignment="1">
      <alignment horizontal="center"/>
    </xf>
    <xf numFmtId="0" fontId="37" fillId="0" borderId="0" xfId="0" applyFont="1" applyAlignment="1">
      <alignment horizontal="left"/>
    </xf>
    <xf numFmtId="5" fontId="14" fillId="0" borderId="0" xfId="0" applyNumberFormat="1" applyFont="1" applyAlignment="1">
      <alignment horizontal="center"/>
    </xf>
    <xf numFmtId="164" fontId="14" fillId="0" borderId="0" xfId="0" applyNumberFormat="1" applyFont="1" applyAlignment="1">
      <alignment horizontal="left"/>
    </xf>
    <xf numFmtId="164" fontId="14" fillId="0" borderId="0" xfId="0" applyNumberFormat="1" applyFont="1" applyAlignment="1">
      <alignment horizontal="right"/>
    </xf>
    <xf numFmtId="169" fontId="21" fillId="0" borderId="0" xfId="0" applyNumberFormat="1" applyFont="1" applyAlignment="1">
      <alignment horizontal="center"/>
    </xf>
    <xf numFmtId="0" fontId="33" fillId="0" borderId="0" xfId="0" applyFont="1" applyAlignment="1">
      <alignment horizontal="left"/>
    </xf>
    <xf numFmtId="165" fontId="20" fillId="0" borderId="0" xfId="1" applyNumberFormat="1" applyFont="1" applyFill="1" applyAlignment="1">
      <alignment horizontal="center"/>
    </xf>
    <xf numFmtId="2" fontId="20" fillId="0" borderId="0" xfId="1" applyNumberFormat="1" applyFont="1" applyFill="1" applyAlignment="1">
      <alignment horizontal="center"/>
    </xf>
    <xf numFmtId="0" fontId="30" fillId="0" borderId="0" xfId="0" applyFont="1"/>
    <xf numFmtId="0" fontId="8" fillId="0" borderId="0" xfId="0" applyFont="1"/>
    <xf numFmtId="164" fontId="5" fillId="0" borderId="0" xfId="2" applyNumberFormat="1" applyFont="1"/>
    <xf numFmtId="164" fontId="5" fillId="0" borderId="0" xfId="0" applyNumberFormat="1" applyFont="1" applyAlignment="1">
      <alignment horizontal="right"/>
    </xf>
    <xf numFmtId="0" fontId="8" fillId="0" borderId="3" xfId="0" applyFont="1" applyBorder="1"/>
    <xf numFmtId="0" fontId="5" fillId="0" borderId="3" xfId="0" applyFont="1" applyBorder="1"/>
    <xf numFmtId="0" fontId="41" fillId="0" borderId="0" xfId="0" applyFont="1"/>
    <xf numFmtId="170" fontId="36" fillId="5" borderId="0" xfId="0" applyNumberFormat="1" applyFont="1" applyFill="1" applyAlignment="1">
      <alignment horizontal="right"/>
    </xf>
    <xf numFmtId="171" fontId="31" fillId="5" borderId="0" xfId="0" applyNumberFormat="1" applyFont="1" applyFill="1" applyAlignment="1">
      <alignment horizontal="center"/>
    </xf>
    <xf numFmtId="172" fontId="31" fillId="5" borderId="0" xfId="0" applyNumberFormat="1" applyFont="1" applyFill="1" applyAlignment="1">
      <alignment horizontal="center"/>
    </xf>
    <xf numFmtId="0" fontId="40" fillId="5" borderId="0" xfId="0" applyFont="1" applyFill="1" applyAlignment="1">
      <alignment horizontal="centerContinuous" vertical="center"/>
    </xf>
    <xf numFmtId="0" fontId="5" fillId="5" borderId="0" xfId="0" applyFont="1" applyFill="1"/>
    <xf numFmtId="0" fontId="31" fillId="5" borderId="0" xfId="0" applyFont="1" applyFill="1" applyAlignment="1">
      <alignment horizontal="left"/>
    </xf>
    <xf numFmtId="172" fontId="31" fillId="0" borderId="0" xfId="0" applyNumberFormat="1" applyFont="1" applyAlignment="1">
      <alignment horizontal="center"/>
    </xf>
    <xf numFmtId="10" fontId="14" fillId="0" borderId="0" xfId="0" applyNumberFormat="1" applyFont="1" applyAlignment="1">
      <alignment horizontal="center"/>
    </xf>
    <xf numFmtId="165" fontId="20" fillId="0" borderId="0" xfId="1" applyNumberFormat="1" applyFont="1" applyFill="1" applyBorder="1" applyAlignment="1">
      <alignment horizontal="center"/>
    </xf>
    <xf numFmtId="2" fontId="20" fillId="0" borderId="5" xfId="1" applyNumberFormat="1" applyFont="1" applyFill="1" applyBorder="1" applyAlignment="1">
      <alignment horizontal="center"/>
    </xf>
    <xf numFmtId="2" fontId="20" fillId="0" borderId="4" xfId="1" applyNumberFormat="1" applyFont="1" applyFill="1" applyBorder="1" applyAlignment="1">
      <alignment horizontal="center"/>
    </xf>
    <xf numFmtId="2" fontId="20" fillId="0" borderId="12" xfId="1" applyNumberFormat="1" applyFont="1" applyFill="1" applyBorder="1" applyAlignment="1">
      <alignment horizontal="center"/>
    </xf>
    <xf numFmtId="0" fontId="0" fillId="0" borderId="2" xfId="0" applyBorder="1"/>
    <xf numFmtId="164" fontId="13" fillId="0" borderId="4" xfId="0" applyNumberFormat="1" applyFont="1" applyBorder="1" applyAlignment="1">
      <alignment horizontal="center"/>
    </xf>
    <xf numFmtId="164" fontId="14" fillId="0" borderId="2" xfId="0" applyNumberFormat="1" applyFont="1" applyBorder="1" applyAlignment="1">
      <alignment horizontal="center"/>
    </xf>
    <xf numFmtId="165" fontId="7" fillId="0" borderId="0" xfId="1" applyNumberFormat="1" applyFont="1" applyBorder="1" applyAlignment="1">
      <alignment horizontal="center"/>
    </xf>
    <xf numFmtId="5" fontId="14" fillId="0" borderId="2" xfId="0" applyNumberFormat="1" applyFont="1" applyBorder="1" applyAlignment="1">
      <alignment horizontal="center"/>
    </xf>
    <xf numFmtId="0" fontId="20" fillId="0" borderId="0" xfId="0" applyFont="1" applyAlignment="1">
      <alignment horizontal="left"/>
    </xf>
    <xf numFmtId="0" fontId="13" fillId="0" borderId="2" xfId="0" applyFont="1" applyBorder="1" applyAlignment="1">
      <alignment horizontal="left"/>
    </xf>
    <xf numFmtId="170" fontId="31" fillId="0" borderId="0" xfId="0" applyNumberFormat="1" applyFont="1" applyAlignment="1">
      <alignment horizontal="center"/>
    </xf>
    <xf numFmtId="165" fontId="22" fillId="5" borderId="0" xfId="1" applyNumberFormat="1" applyFont="1" applyFill="1" applyAlignment="1">
      <alignment horizontal="left" vertical="center"/>
    </xf>
    <xf numFmtId="165" fontId="22" fillId="5" borderId="0" xfId="0" applyNumberFormat="1" applyFont="1" applyFill="1" applyAlignment="1">
      <alignment horizontal="left" vertical="center"/>
    </xf>
    <xf numFmtId="0" fontId="21" fillId="3" borderId="13" xfId="0" applyFont="1" applyFill="1" applyBorder="1" applyAlignment="1">
      <alignment horizontal="center"/>
    </xf>
    <xf numFmtId="2" fontId="21" fillId="0" borderId="4" xfId="0" applyNumberFormat="1" applyFont="1" applyBorder="1" applyAlignment="1">
      <alignment horizontal="center"/>
    </xf>
    <xf numFmtId="165" fontId="21" fillId="0" borderId="4" xfId="1" applyNumberFormat="1" applyFont="1" applyBorder="1" applyAlignment="1">
      <alignment horizontal="center"/>
    </xf>
    <xf numFmtId="0" fontId="21" fillId="0" borderId="4" xfId="0" applyFont="1" applyBorder="1" applyAlignment="1">
      <alignment horizontal="center"/>
    </xf>
    <xf numFmtId="164" fontId="21" fillId="0" borderId="4" xfId="2" applyNumberFormat="1" applyFont="1" applyBorder="1" applyAlignment="1">
      <alignment horizontal="center"/>
    </xf>
    <xf numFmtId="0" fontId="43" fillId="0" borderId="0" xfId="0" applyFont="1"/>
    <xf numFmtId="0" fontId="28" fillId="0" borderId="0" xfId="0" applyFont="1"/>
    <xf numFmtId="165" fontId="29" fillId="0" borderId="0" xfId="1" applyNumberFormat="1" applyFont="1" applyFill="1" applyBorder="1"/>
    <xf numFmtId="0" fontId="40" fillId="0" borderId="0" xfId="0" applyFont="1" applyAlignment="1">
      <alignment horizontal="centerContinuous" vertical="center"/>
    </xf>
    <xf numFmtId="1" fontId="5" fillId="0" borderId="0" xfId="1" applyNumberFormat="1" applyFont="1" applyFill="1" applyBorder="1"/>
    <xf numFmtId="1" fontId="29" fillId="0" borderId="0" xfId="0" applyNumberFormat="1" applyFont="1"/>
    <xf numFmtId="5" fontId="5" fillId="0" borderId="0" xfId="0" applyNumberFormat="1" applyFont="1"/>
    <xf numFmtId="173" fontId="29" fillId="0" borderId="0" xfId="0" applyNumberFormat="1" applyFont="1"/>
    <xf numFmtId="0" fontId="0" fillId="5" borderId="0" xfId="0" applyFill="1"/>
    <xf numFmtId="2" fontId="5" fillId="0" borderId="2" xfId="0" applyNumberFormat="1" applyFont="1" applyBorder="1"/>
    <xf numFmtId="165" fontId="20" fillId="0" borderId="2" xfId="0" applyNumberFormat="1" applyFont="1" applyBorder="1" applyAlignment="1">
      <alignment horizontal="center"/>
    </xf>
    <xf numFmtId="164" fontId="37" fillId="0" borderId="0" xfId="0" applyNumberFormat="1" applyFont="1" applyAlignment="1">
      <alignment horizontal="center"/>
    </xf>
    <xf numFmtId="0" fontId="45" fillId="0" borderId="0" xfId="0" applyFont="1"/>
    <xf numFmtId="10" fontId="33" fillId="0" borderId="2" xfId="1" applyNumberFormat="1" applyFont="1" applyBorder="1" applyAlignment="1">
      <alignment horizontal="center"/>
    </xf>
    <xf numFmtId="5" fontId="22" fillId="7" borderId="0" xfId="0" applyNumberFormat="1" applyFont="1" applyFill="1" applyAlignment="1">
      <alignment horizontal="center"/>
    </xf>
    <xf numFmtId="37" fontId="21" fillId="3" borderId="0" xfId="0" applyNumberFormat="1" applyFont="1" applyFill="1" applyAlignment="1">
      <alignment horizontal="center"/>
    </xf>
    <xf numFmtId="0" fontId="0" fillId="3" borderId="0" xfId="0" applyFill="1"/>
    <xf numFmtId="0" fontId="40" fillId="3" borderId="0" xfId="0" applyFont="1" applyFill="1" applyAlignment="1">
      <alignment horizontal="centerContinuous" vertical="center"/>
    </xf>
    <xf numFmtId="0" fontId="22" fillId="3" borderId="0" xfId="0" applyFont="1" applyFill="1" applyAlignment="1">
      <alignment horizontal="centerContinuous"/>
    </xf>
    <xf numFmtId="0" fontId="0" fillId="3" borderId="0" xfId="0" applyFill="1" applyAlignment="1">
      <alignment horizontal="centerContinuous"/>
    </xf>
    <xf numFmtId="173" fontId="22" fillId="3" borderId="4" xfId="0" applyNumberFormat="1" applyFont="1" applyFill="1" applyBorder="1" applyAlignment="1">
      <alignment horizontal="center"/>
    </xf>
    <xf numFmtId="164" fontId="21" fillId="3" borderId="16" xfId="0" applyNumberFormat="1" applyFont="1" applyFill="1" applyBorder="1"/>
    <xf numFmtId="0" fontId="22" fillId="3" borderId="0" xfId="0" applyFont="1" applyFill="1" applyAlignment="1">
      <alignment horizontal="center"/>
    </xf>
    <xf numFmtId="0" fontId="0" fillId="3" borderId="0" xfId="0" applyFill="1" applyAlignment="1">
      <alignment horizontal="center"/>
    </xf>
    <xf numFmtId="10" fontId="21" fillId="3" borderId="0" xfId="1" applyNumberFormat="1" applyFont="1" applyFill="1" applyAlignment="1">
      <alignment horizontal="center"/>
    </xf>
    <xf numFmtId="10" fontId="21" fillId="6" borderId="0" xfId="1" applyNumberFormat="1" applyFont="1" applyFill="1" applyAlignment="1">
      <alignment horizontal="center"/>
    </xf>
    <xf numFmtId="10" fontId="22" fillId="7" borderId="0" xfId="1" applyNumberFormat="1" applyFont="1" applyFill="1" applyAlignment="1">
      <alignment horizontal="center"/>
    </xf>
    <xf numFmtId="173" fontId="22" fillId="7" borderId="0" xfId="0" applyNumberFormat="1" applyFont="1" applyFill="1" applyAlignment="1">
      <alignment horizontal="center"/>
    </xf>
    <xf numFmtId="173" fontId="21" fillId="3" borderId="0" xfId="0" applyNumberFormat="1" applyFont="1" applyFill="1" applyAlignment="1">
      <alignment horizontal="center"/>
    </xf>
    <xf numFmtId="173" fontId="21" fillId="6" borderId="0" xfId="0" applyNumberFormat="1" applyFont="1" applyFill="1" applyAlignment="1">
      <alignment horizontal="center"/>
    </xf>
    <xf numFmtId="165" fontId="22" fillId="3" borderId="0" xfId="0" applyNumberFormat="1" applyFont="1" applyFill="1"/>
    <xf numFmtId="5" fontId="22" fillId="3" borderId="0" xfId="0" applyNumberFormat="1" applyFont="1" applyFill="1" applyAlignment="1">
      <alignment horizontal="center"/>
    </xf>
    <xf numFmtId="164" fontId="5" fillId="3" borderId="0" xfId="0" applyNumberFormat="1" applyFont="1" applyFill="1"/>
    <xf numFmtId="164" fontId="5" fillId="0" borderId="0" xfId="1" applyNumberFormat="1" applyFont="1" applyBorder="1"/>
    <xf numFmtId="0" fontId="27" fillId="0" borderId="0" xfId="0" applyFont="1"/>
    <xf numFmtId="9" fontId="7" fillId="0" borderId="0" xfId="1" applyFont="1" applyBorder="1"/>
    <xf numFmtId="164" fontId="5" fillId="0" borderId="2" xfId="2" applyNumberFormat="1" applyFont="1" applyBorder="1"/>
    <xf numFmtId="164" fontId="46" fillId="0" borderId="0" xfId="0" applyNumberFormat="1" applyFont="1"/>
    <xf numFmtId="0" fontId="40" fillId="3" borderId="0" xfId="0" applyFont="1" applyFill="1" applyAlignment="1">
      <alignment vertical="center"/>
    </xf>
    <xf numFmtId="164" fontId="8" fillId="0" borderId="0" xfId="0" applyNumberFormat="1" applyFont="1" applyAlignment="1">
      <alignment horizontal="right"/>
    </xf>
    <xf numFmtId="9" fontId="16" fillId="0" borderId="0" xfId="1" applyFont="1" applyFill="1" applyBorder="1"/>
    <xf numFmtId="165" fontId="22" fillId="3" borderId="2" xfId="0" applyNumberFormat="1" applyFont="1" applyFill="1" applyBorder="1"/>
    <xf numFmtId="37" fontId="21" fillId="3" borderId="2" xfId="0" applyNumberFormat="1" applyFont="1" applyFill="1" applyBorder="1" applyAlignment="1">
      <alignment horizontal="center"/>
    </xf>
    <xf numFmtId="0" fontId="40" fillId="5" borderId="17" xfId="0" applyFont="1" applyFill="1" applyBorder="1" applyAlignment="1">
      <alignment horizontal="centerContinuous" vertical="center"/>
    </xf>
    <xf numFmtId="0" fontId="40" fillId="0" borderId="0" xfId="0" applyFont="1" applyAlignment="1">
      <alignment vertical="center"/>
    </xf>
    <xf numFmtId="0" fontId="5" fillId="0" borderId="18" xfId="0" applyFont="1" applyBorder="1"/>
    <xf numFmtId="0" fontId="0" fillId="0" borderId="18" xfId="0" applyBorder="1"/>
    <xf numFmtId="164" fontId="5" fillId="0" borderId="18" xfId="0" applyNumberFormat="1" applyFont="1" applyBorder="1"/>
    <xf numFmtId="165" fontId="8" fillId="0" borderId="0" xfId="1" applyNumberFormat="1" applyFont="1"/>
    <xf numFmtId="0" fontId="40" fillId="3" borderId="0" xfId="0" applyFont="1" applyFill="1" applyAlignment="1">
      <alignment horizontal="center" vertical="center"/>
    </xf>
    <xf numFmtId="0" fontId="47" fillId="0" borderId="0" xfId="0" applyFont="1" applyAlignment="1">
      <alignment vertical="top" wrapText="1"/>
    </xf>
    <xf numFmtId="0" fontId="8"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164" fontId="5" fillId="0" borderId="0" xfId="1" applyNumberFormat="1" applyFont="1" applyBorder="1" applyAlignment="1">
      <alignment vertical="center"/>
    </xf>
    <xf numFmtId="164" fontId="46" fillId="0" borderId="0" xfId="0" applyNumberFormat="1" applyFont="1" applyAlignment="1">
      <alignment vertical="center"/>
    </xf>
    <xf numFmtId="0" fontId="47" fillId="0" borderId="18" xfId="0" applyFont="1" applyBorder="1" applyAlignment="1">
      <alignment vertical="top" wrapText="1"/>
    </xf>
    <xf numFmtId="173" fontId="8" fillId="0" borderId="0" xfId="1" applyNumberFormat="1" applyFont="1"/>
    <xf numFmtId="0" fontId="7" fillId="0" borderId="0" xfId="0" applyFont="1" applyAlignment="1">
      <alignment vertical="top"/>
    </xf>
    <xf numFmtId="0" fontId="27" fillId="0" borderId="0" xfId="0" applyFont="1" applyAlignment="1">
      <alignment vertical="top"/>
    </xf>
    <xf numFmtId="0" fontId="6" fillId="0" borderId="0" xfId="0" applyFont="1" applyAlignment="1">
      <alignment vertical="top"/>
    </xf>
    <xf numFmtId="9" fontId="7" fillId="0" borderId="0" xfId="1" applyFont="1" applyBorder="1" applyAlignment="1">
      <alignment vertical="top"/>
    </xf>
    <xf numFmtId="164" fontId="46" fillId="0" borderId="0" xfId="0" applyNumberFormat="1" applyFont="1" applyAlignment="1">
      <alignment horizontal="right"/>
    </xf>
    <xf numFmtId="0" fontId="5" fillId="0" borderId="4" xfId="0" applyFont="1" applyBorder="1"/>
    <xf numFmtId="0" fontId="31" fillId="5" borderId="0" xfId="0" applyFont="1" applyFill="1" applyAlignment="1">
      <alignment horizontal="centerContinuous" vertical="center"/>
    </xf>
    <xf numFmtId="165" fontId="42" fillId="3" borderId="16" xfId="1" applyNumberFormat="1" applyFont="1" applyFill="1" applyBorder="1"/>
    <xf numFmtId="165" fontId="48" fillId="4" borderId="16" xfId="1" applyNumberFormat="1" applyFont="1" applyFill="1" applyBorder="1"/>
    <xf numFmtId="0" fontId="0" fillId="5" borderId="18" xfId="0" applyFill="1" applyBorder="1"/>
    <xf numFmtId="0" fontId="5" fillId="5" borderId="18" xfId="0" applyFont="1" applyFill="1" applyBorder="1"/>
    <xf numFmtId="173" fontId="8" fillId="0" borderId="0" xfId="1" applyNumberFormat="1" applyFont="1" applyBorder="1"/>
    <xf numFmtId="0" fontId="5" fillId="5" borderId="0" xfId="0" applyFont="1" applyFill="1" applyAlignment="1">
      <alignment horizontal="centerContinuous"/>
    </xf>
    <xf numFmtId="0" fontId="50" fillId="5" borderId="0" xfId="0" applyFont="1" applyFill="1" applyAlignment="1">
      <alignment horizontal="centerContinuous"/>
    </xf>
    <xf numFmtId="0" fontId="22" fillId="0" borderId="0" xfId="0" applyFont="1" applyAlignment="1">
      <alignment horizontal="right"/>
    </xf>
    <xf numFmtId="164" fontId="13" fillId="0" borderId="5" xfId="0" applyNumberFormat="1" applyFont="1" applyBorder="1" applyAlignment="1">
      <alignment horizontal="center"/>
    </xf>
    <xf numFmtId="164" fontId="13" fillId="0" borderId="12" xfId="0" applyNumberFormat="1" applyFont="1" applyBorder="1" applyAlignment="1">
      <alignment horizontal="center"/>
    </xf>
    <xf numFmtId="0" fontId="49" fillId="5" borderId="3" xfId="0" applyFont="1" applyFill="1" applyBorder="1"/>
    <xf numFmtId="0" fontId="21" fillId="5" borderId="3" xfId="0" applyFont="1" applyFill="1" applyBorder="1"/>
    <xf numFmtId="164" fontId="21" fillId="5" borderId="3" xfId="0" applyNumberFormat="1" applyFont="1" applyFill="1" applyBorder="1"/>
    <xf numFmtId="2" fontId="21" fillId="5" borderId="3" xfId="0" applyNumberFormat="1" applyFont="1" applyFill="1" applyBorder="1"/>
    <xf numFmtId="9" fontId="21" fillId="5" borderId="3" xfId="1" applyFont="1" applyFill="1" applyBorder="1"/>
    <xf numFmtId="164" fontId="21" fillId="5" borderId="3" xfId="2" applyNumberFormat="1" applyFont="1" applyFill="1" applyBorder="1" applyAlignment="1"/>
    <xf numFmtId="165" fontId="21" fillId="5" borderId="3" xfId="1" applyNumberFormat="1" applyFont="1" applyFill="1" applyBorder="1"/>
    <xf numFmtId="0" fontId="21" fillId="3" borderId="0" xfId="0" applyFont="1" applyFill="1"/>
    <xf numFmtId="0" fontId="44" fillId="3" borderId="0" xfId="0" applyFont="1" applyFill="1"/>
    <xf numFmtId="0" fontId="51" fillId="5" borderId="18" xfId="0" applyFont="1" applyFill="1" applyBorder="1"/>
    <xf numFmtId="0" fontId="2" fillId="5" borderId="0" xfId="0" applyFont="1" applyFill="1"/>
    <xf numFmtId="0" fontId="2" fillId="5" borderId="18" xfId="0" applyFont="1" applyFill="1" applyBorder="1"/>
    <xf numFmtId="0" fontId="22" fillId="0" borderId="18" xfId="0" applyFont="1" applyBorder="1"/>
    <xf numFmtId="0" fontId="21" fillId="0" borderId="18" xfId="0" applyFont="1" applyBorder="1"/>
    <xf numFmtId="0" fontId="0" fillId="0" borderId="18" xfId="0" applyBorder="1" applyAlignment="1">
      <alignment horizontal="center"/>
    </xf>
    <xf numFmtId="164" fontId="21" fillId="0" borderId="18" xfId="0" applyNumberFormat="1" applyFont="1" applyBorder="1" applyAlignment="1">
      <alignment horizontal="center"/>
    </xf>
    <xf numFmtId="0" fontId="4" fillId="8" borderId="0" xfId="0" applyFont="1" applyFill="1" applyAlignment="1">
      <alignment horizontal="center"/>
    </xf>
    <xf numFmtId="170" fontId="36" fillId="5" borderId="0" xfId="0" applyNumberFormat="1" applyFont="1" applyFill="1" applyAlignment="1">
      <alignment horizontal="center"/>
    </xf>
    <xf numFmtId="0" fontId="17" fillId="0" borderId="18" xfId="0" applyFont="1" applyBorder="1"/>
    <xf numFmtId="0" fontId="21" fillId="0" borderId="21" xfId="0" applyFont="1" applyBorder="1"/>
    <xf numFmtId="0" fontId="0" fillId="0" borderId="21" xfId="0" applyBorder="1"/>
    <xf numFmtId="0" fontId="21" fillId="0" borderId="21" xfId="0" applyFont="1" applyBorder="1" applyAlignment="1">
      <alignment horizontal="center"/>
    </xf>
    <xf numFmtId="0" fontId="7" fillId="0" borderId="18" xfId="0" applyFont="1" applyBorder="1"/>
    <xf numFmtId="165" fontId="7" fillId="0" borderId="18" xfId="1" applyNumberFormat="1" applyFont="1" applyBorder="1" applyAlignment="1">
      <alignment horizontal="center"/>
    </xf>
    <xf numFmtId="0" fontId="8" fillId="0" borderId="2" xfId="0" applyFont="1" applyBorder="1" applyAlignment="1">
      <alignment horizontal="center" vertical="center" wrapText="1"/>
    </xf>
    <xf numFmtId="172" fontId="21" fillId="0" borderId="0" xfId="0" applyNumberFormat="1" applyFont="1" applyAlignment="1">
      <alignment horizontal="left"/>
    </xf>
    <xf numFmtId="10" fontId="14" fillId="0" borderId="0" xfId="0" applyNumberFormat="1" applyFont="1" applyAlignment="1">
      <alignment horizontal="left"/>
    </xf>
    <xf numFmtId="165" fontId="14" fillId="0" borderId="0" xfId="1" applyNumberFormat="1" applyFont="1" applyFill="1" applyBorder="1" applyAlignment="1">
      <alignment horizontal="left"/>
    </xf>
    <xf numFmtId="173" fontId="0" fillId="0" borderId="0" xfId="0" applyNumberFormat="1" applyAlignment="1">
      <alignment horizontal="center"/>
    </xf>
    <xf numFmtId="165" fontId="0" fillId="0" borderId="0" xfId="1" applyNumberFormat="1" applyFont="1" applyBorder="1"/>
    <xf numFmtId="37" fontId="0" fillId="0" borderId="0" xfId="0" applyNumberFormat="1" applyAlignment="1">
      <alignment horizontal="center"/>
    </xf>
    <xf numFmtId="165" fontId="0" fillId="0" borderId="0" xfId="0" applyNumberFormat="1"/>
    <xf numFmtId="173" fontId="21" fillId="0" borderId="6" xfId="0" applyNumberFormat="1" applyFont="1" applyBorder="1" applyAlignment="1">
      <alignment horizontal="center"/>
    </xf>
    <xf numFmtId="173" fontId="21" fillId="0" borderId="3" xfId="1" applyNumberFormat="1" applyFont="1" applyBorder="1" applyAlignment="1">
      <alignment horizontal="center"/>
    </xf>
    <xf numFmtId="173" fontId="21" fillId="0" borderId="1" xfId="1" applyNumberFormat="1" applyFont="1" applyBorder="1" applyAlignment="1">
      <alignment horizontal="center"/>
    </xf>
    <xf numFmtId="173" fontId="21" fillId="0" borderId="2" xfId="1" applyNumberFormat="1" applyFont="1" applyBorder="1" applyAlignment="1">
      <alignment horizontal="center"/>
    </xf>
    <xf numFmtId="0" fontId="0" fillId="0" borderId="4" xfId="0" applyBorder="1"/>
    <xf numFmtId="0" fontId="22" fillId="3" borderId="13" xfId="0" applyFont="1" applyFill="1" applyBorder="1"/>
    <xf numFmtId="165" fontId="21" fillId="0" borderId="0" xfId="0" applyNumberFormat="1" applyFont="1" applyAlignment="1">
      <alignment horizontal="center"/>
    </xf>
    <xf numFmtId="165" fontId="31" fillId="5" borderId="0" xfId="0" applyNumberFormat="1" applyFont="1" applyFill="1" applyAlignment="1">
      <alignment horizontal="center" vertical="center"/>
    </xf>
    <xf numFmtId="165" fontId="31" fillId="5" borderId="0" xfId="0" applyNumberFormat="1" applyFont="1" applyFill="1" applyAlignment="1">
      <alignment horizontal="center"/>
    </xf>
    <xf numFmtId="165" fontId="21" fillId="0" borderId="4" xfId="0" applyNumberFormat="1" applyFont="1" applyBorder="1" applyAlignment="1">
      <alignment horizontal="center"/>
    </xf>
    <xf numFmtId="173" fontId="21" fillId="0" borderId="4" xfId="0" applyNumberFormat="1" applyFont="1" applyBorder="1" applyAlignment="1">
      <alignment horizontal="center"/>
    </xf>
    <xf numFmtId="0" fontId="52" fillId="3" borderId="0" xfId="0" applyFont="1" applyFill="1"/>
    <xf numFmtId="0" fontId="0" fillId="5" borderId="0" xfId="0" applyFill="1" applyAlignment="1">
      <alignment horizontal="centerContinuous"/>
    </xf>
    <xf numFmtId="164" fontId="13" fillId="0" borderId="19" xfId="0" applyNumberFormat="1" applyFont="1" applyBorder="1" applyAlignment="1">
      <alignment horizontal="right"/>
    </xf>
    <xf numFmtId="165" fontId="0" fillId="3" borderId="0" xfId="0" applyNumberFormat="1" applyFill="1"/>
    <xf numFmtId="10" fontId="53" fillId="3" borderId="0" xfId="0" applyNumberFormat="1" applyFont="1" applyFill="1" applyAlignment="1">
      <alignment horizontal="center"/>
    </xf>
    <xf numFmtId="164" fontId="55" fillId="0" borderId="1" xfId="0" applyNumberFormat="1" applyFont="1" applyBorder="1" applyAlignment="1">
      <alignment horizontal="center"/>
    </xf>
    <xf numFmtId="164" fontId="56" fillId="0" borderId="1" xfId="0" applyNumberFormat="1" applyFont="1" applyBorder="1" applyAlignment="1">
      <alignment horizontal="center"/>
    </xf>
    <xf numFmtId="5" fontId="56" fillId="0" borderId="4" xfId="0" applyNumberFormat="1" applyFont="1" applyBorder="1" applyAlignment="1">
      <alignment horizontal="center"/>
    </xf>
    <xf numFmtId="5" fontId="55" fillId="0" borderId="2" xfId="0" applyNumberFormat="1" applyFont="1" applyBorder="1" applyAlignment="1">
      <alignment horizontal="center"/>
    </xf>
    <xf numFmtId="165" fontId="57" fillId="0" borderId="2" xfId="1" applyNumberFormat="1" applyFont="1" applyBorder="1" applyAlignment="1">
      <alignment horizontal="center"/>
    </xf>
    <xf numFmtId="0" fontId="55" fillId="0" borderId="0" xfId="0" applyFont="1"/>
    <xf numFmtId="165" fontId="58" fillId="0" borderId="2" xfId="1" applyNumberFormat="1" applyFont="1" applyFill="1" applyBorder="1" applyAlignment="1">
      <alignment horizontal="center"/>
    </xf>
    <xf numFmtId="164" fontId="55" fillId="0" borderId="0" xfId="0" applyNumberFormat="1" applyFont="1" applyAlignment="1">
      <alignment horizontal="center"/>
    </xf>
    <xf numFmtId="165" fontId="55" fillId="0" borderId="0" xfId="1" applyNumberFormat="1" applyFont="1" applyBorder="1" applyAlignment="1">
      <alignment horizontal="center"/>
    </xf>
    <xf numFmtId="164" fontId="60" fillId="0" borderId="1" xfId="0" applyNumberFormat="1" applyFont="1" applyBorder="1" applyAlignment="1">
      <alignment horizontal="center"/>
    </xf>
    <xf numFmtId="164" fontId="59" fillId="0" borderId="1" xfId="0" applyNumberFormat="1" applyFont="1" applyBorder="1" applyAlignment="1">
      <alignment horizontal="center"/>
    </xf>
    <xf numFmtId="5" fontId="60" fillId="0" borderId="1" xfId="0" applyNumberFormat="1" applyFont="1" applyBorder="1" applyAlignment="1">
      <alignment horizontal="center"/>
    </xf>
    <xf numFmtId="10" fontId="56" fillId="0" borderId="20" xfId="1" applyNumberFormat="1" applyFont="1" applyFill="1" applyBorder="1" applyAlignment="1">
      <alignment horizontal="center"/>
    </xf>
    <xf numFmtId="164" fontId="61" fillId="0" borderId="1" xfId="0" applyNumberFormat="1" applyFont="1" applyBorder="1" applyAlignment="1">
      <alignment horizontal="center"/>
    </xf>
    <xf numFmtId="0" fontId="62" fillId="0" borderId="0" xfId="0" applyFont="1" applyAlignment="1">
      <alignment horizontal="center"/>
    </xf>
    <xf numFmtId="10" fontId="63" fillId="0" borderId="2" xfId="1" applyNumberFormat="1" applyFont="1" applyFill="1" applyBorder="1" applyAlignment="1">
      <alignment horizontal="center"/>
    </xf>
    <xf numFmtId="164" fontId="67" fillId="0" borderId="2" xfId="0" applyNumberFormat="1" applyFont="1" applyBorder="1"/>
    <xf numFmtId="165" fontId="7" fillId="0" borderId="2" xfId="1" applyNumberFormat="1" applyFont="1" applyBorder="1" applyAlignment="1">
      <alignment horizontal="center"/>
    </xf>
    <xf numFmtId="5" fontId="59" fillId="3" borderId="1" xfId="0" applyNumberFormat="1" applyFont="1" applyFill="1" applyBorder="1" applyAlignment="1">
      <alignment horizontal="center"/>
    </xf>
    <xf numFmtId="5" fontId="21" fillId="0" borderId="0" xfId="0" applyNumberFormat="1" applyFont="1" applyAlignment="1">
      <alignment horizontal="center"/>
    </xf>
    <xf numFmtId="5" fontId="21" fillId="0" borderId="1" xfId="0" applyNumberFormat="1" applyFont="1" applyBorder="1" applyAlignment="1">
      <alignment horizontal="center"/>
    </xf>
    <xf numFmtId="5" fontId="59" fillId="3" borderId="0" xfId="0" applyNumberFormat="1" applyFont="1" applyFill="1" applyAlignment="1">
      <alignment horizontal="center"/>
    </xf>
    <xf numFmtId="5" fontId="59" fillId="3" borderId="2" xfId="0" applyNumberFormat="1" applyFont="1" applyFill="1" applyBorder="1" applyAlignment="1">
      <alignment horizontal="center"/>
    </xf>
    <xf numFmtId="5" fontId="21" fillId="0" borderId="2" xfId="0" applyNumberFormat="1" applyFont="1" applyBorder="1" applyAlignment="1">
      <alignment horizontal="center"/>
    </xf>
    <xf numFmtId="5" fontId="14" fillId="3" borderId="0" xfId="0" applyNumberFormat="1" applyFont="1" applyFill="1" applyAlignment="1">
      <alignment horizontal="center"/>
    </xf>
    <xf numFmtId="5" fontId="59" fillId="3" borderId="4" xfId="0" applyNumberFormat="1" applyFont="1" applyFill="1" applyBorder="1" applyAlignment="1">
      <alignment horizontal="center"/>
    </xf>
    <xf numFmtId="5" fontId="21" fillId="0" borderId="4" xfId="0" applyNumberFormat="1" applyFont="1" applyBorder="1" applyAlignment="1">
      <alignment horizontal="center"/>
    </xf>
    <xf numFmtId="5" fontId="14" fillId="3" borderId="4" xfId="0" applyNumberFormat="1" applyFont="1" applyFill="1" applyBorder="1" applyAlignment="1">
      <alignment horizontal="center"/>
    </xf>
    <xf numFmtId="5" fontId="13" fillId="3" borderId="4" xfId="0" applyNumberFormat="1" applyFont="1" applyFill="1" applyBorder="1" applyAlignment="1">
      <alignment horizontal="center"/>
    </xf>
    <xf numFmtId="5" fontId="22" fillId="0" borderId="4" xfId="0" applyNumberFormat="1" applyFont="1" applyBorder="1" applyAlignment="1">
      <alignment horizontal="center"/>
    </xf>
    <xf numFmtId="5" fontId="68" fillId="3" borderId="1" xfId="0" applyNumberFormat="1" applyFont="1" applyFill="1" applyBorder="1" applyAlignment="1">
      <alignment horizontal="center"/>
    </xf>
    <xf numFmtId="5" fontId="20" fillId="3" borderId="1" xfId="0" applyNumberFormat="1" applyFont="1" applyFill="1" applyBorder="1" applyAlignment="1">
      <alignment horizontal="center"/>
    </xf>
    <xf numFmtId="5" fontId="20" fillId="3" borderId="0" xfId="0" applyNumberFormat="1" applyFont="1" applyFill="1" applyAlignment="1">
      <alignment horizontal="center"/>
    </xf>
    <xf numFmtId="5" fontId="14" fillId="3" borderId="1" xfId="0" applyNumberFormat="1" applyFont="1" applyFill="1" applyBorder="1" applyAlignment="1">
      <alignment horizontal="center"/>
    </xf>
    <xf numFmtId="5" fontId="55" fillId="0" borderId="1" xfId="0" applyNumberFormat="1" applyFont="1" applyBorder="1" applyAlignment="1">
      <alignment horizontal="center"/>
    </xf>
    <xf numFmtId="10" fontId="63" fillId="0" borderId="2" xfId="1" applyNumberFormat="1" applyFont="1" applyBorder="1" applyAlignment="1">
      <alignment horizontal="center"/>
    </xf>
    <xf numFmtId="10" fontId="65" fillId="0" borderId="2" xfId="1" applyNumberFormat="1" applyFont="1" applyBorder="1" applyAlignment="1">
      <alignment horizontal="center"/>
    </xf>
    <xf numFmtId="5" fontId="22" fillId="0" borderId="0" xfId="0" applyNumberFormat="1" applyFont="1" applyAlignment="1">
      <alignment horizontal="center"/>
    </xf>
    <xf numFmtId="5" fontId="22" fillId="0" borderId="1" xfId="0" applyNumberFormat="1" applyFont="1" applyBorder="1" applyAlignment="1">
      <alignment horizontal="center"/>
    </xf>
    <xf numFmtId="5" fontId="59" fillId="0" borderId="1" xfId="0" applyNumberFormat="1" applyFont="1" applyBorder="1" applyAlignment="1">
      <alignment horizontal="center"/>
    </xf>
    <xf numFmtId="5" fontId="5" fillId="0" borderId="0" xfId="0" applyNumberFormat="1" applyFont="1" applyAlignment="1">
      <alignment horizontal="center"/>
    </xf>
    <xf numFmtId="5" fontId="59" fillId="0" borderId="4" xfId="0" applyNumberFormat="1" applyFont="1" applyBorder="1" applyAlignment="1">
      <alignment horizontal="center"/>
    </xf>
    <xf numFmtId="5" fontId="55" fillId="0" borderId="4" xfId="0" applyNumberFormat="1" applyFont="1" applyBorder="1" applyAlignment="1">
      <alignment horizontal="center"/>
    </xf>
    <xf numFmtId="5" fontId="59" fillId="0" borderId="0" xfId="0" applyNumberFormat="1" applyFont="1" applyAlignment="1">
      <alignment horizontal="center"/>
    </xf>
    <xf numFmtId="5" fontId="60" fillId="0" borderId="4" xfId="0" applyNumberFormat="1" applyFont="1" applyBorder="1" applyAlignment="1">
      <alignment horizontal="center"/>
    </xf>
    <xf numFmtId="5" fontId="21" fillId="0" borderId="0" xfId="2" applyNumberFormat="1" applyFont="1" applyAlignment="1">
      <alignment horizontal="center"/>
    </xf>
    <xf numFmtId="5" fontId="21" fillId="0" borderId="1" xfId="2" applyNumberFormat="1" applyFont="1" applyFill="1" applyBorder="1" applyAlignment="1">
      <alignment horizontal="center"/>
    </xf>
    <xf numFmtId="5" fontId="21" fillId="0" borderId="0" xfId="2" applyNumberFormat="1" applyFont="1" applyFill="1" applyAlignment="1">
      <alignment horizontal="center"/>
    </xf>
    <xf numFmtId="5" fontId="31" fillId="5" borderId="0" xfId="0" applyNumberFormat="1" applyFont="1" applyFill="1" applyAlignment="1">
      <alignment horizontal="center" vertical="center"/>
    </xf>
    <xf numFmtId="5" fontId="21" fillId="0" borderId="6" xfId="0" applyNumberFormat="1" applyFont="1" applyBorder="1" applyAlignment="1">
      <alignment horizontal="center"/>
    </xf>
    <xf numFmtId="5" fontId="21" fillId="0" borderId="3" xfId="0" applyNumberFormat="1" applyFont="1" applyBorder="1" applyAlignment="1">
      <alignment horizontal="center"/>
    </xf>
    <xf numFmtId="5" fontId="0" fillId="0" borderId="0" xfId="0" applyNumberFormat="1"/>
    <xf numFmtId="5" fontId="0" fillId="5" borderId="0" xfId="0" applyNumberFormat="1" applyFill="1"/>
    <xf numFmtId="5" fontId="31" fillId="5" borderId="0" xfId="0" applyNumberFormat="1" applyFont="1" applyFill="1" applyAlignment="1">
      <alignment horizontal="left" vertical="center"/>
    </xf>
    <xf numFmtId="5" fontId="22" fillId="0" borderId="18" xfId="0" applyNumberFormat="1" applyFont="1" applyBorder="1" applyAlignment="1">
      <alignment horizontal="center"/>
    </xf>
    <xf numFmtId="5" fontId="21" fillId="0" borderId="21" xfId="0" applyNumberFormat="1" applyFont="1" applyBorder="1" applyAlignment="1">
      <alignment horizontal="center"/>
    </xf>
    <xf numFmtId="5" fontId="55" fillId="0" borderId="0" xfId="0" applyNumberFormat="1" applyFont="1" applyAlignment="1">
      <alignment horizontal="center"/>
    </xf>
    <xf numFmtId="5" fontId="55" fillId="0" borderId="18" xfId="0" applyNumberFormat="1" applyFont="1" applyBorder="1" applyAlignment="1">
      <alignment horizontal="center"/>
    </xf>
    <xf numFmtId="0" fontId="31" fillId="5" borderId="0" xfId="0" applyFont="1" applyFill="1" applyAlignment="1">
      <alignment horizontal="center"/>
    </xf>
    <xf numFmtId="0" fontId="31" fillId="0" borderId="0" xfId="0" applyFont="1"/>
    <xf numFmtId="2" fontId="69" fillId="0" borderId="0" xfId="0" applyNumberFormat="1" applyFont="1" applyAlignment="1">
      <alignment horizontal="center"/>
    </xf>
    <xf numFmtId="164" fontId="69" fillId="0" borderId="0" xfId="0" applyNumberFormat="1" applyFont="1" applyAlignment="1">
      <alignment horizontal="center"/>
    </xf>
    <xf numFmtId="165" fontId="69" fillId="0" borderId="0" xfId="1" applyNumberFormat="1" applyFont="1" applyAlignment="1">
      <alignment horizontal="center"/>
    </xf>
    <xf numFmtId="164" fontId="69" fillId="3" borderId="0" xfId="0" applyNumberFormat="1" applyFont="1" applyFill="1" applyAlignment="1">
      <alignment horizontal="right"/>
    </xf>
    <xf numFmtId="0" fontId="8" fillId="4" borderId="5" xfId="0" applyFont="1" applyFill="1" applyBorder="1"/>
    <xf numFmtId="0" fontId="5" fillId="4" borderId="4" xfId="0" applyFont="1" applyFill="1" applyBorder="1"/>
    <xf numFmtId="173" fontId="69" fillId="0" borderId="2" xfId="0" applyNumberFormat="1" applyFont="1" applyBorder="1" applyAlignment="1">
      <alignment horizontal="right"/>
    </xf>
    <xf numFmtId="164" fontId="67" fillId="0" borderId="0" xfId="0" applyNumberFormat="1" applyFont="1" applyAlignment="1">
      <alignment horizontal="right"/>
    </xf>
    <xf numFmtId="164" fontId="69" fillId="0" borderId="0" xfId="0" applyNumberFormat="1" applyFont="1" applyAlignment="1">
      <alignment horizontal="right"/>
    </xf>
    <xf numFmtId="164" fontId="69" fillId="0" borderId="2" xfId="0" applyNumberFormat="1" applyFont="1" applyBorder="1" applyAlignment="1">
      <alignment horizontal="right"/>
    </xf>
    <xf numFmtId="2" fontId="67" fillId="0" borderId="0" xfId="0" applyNumberFormat="1" applyFont="1"/>
    <xf numFmtId="10" fontId="5" fillId="0" borderId="0" xfId="0" applyNumberFormat="1" applyFont="1"/>
    <xf numFmtId="9" fontId="69" fillId="3" borderId="2" xfId="1" applyFont="1" applyFill="1" applyBorder="1"/>
    <xf numFmtId="0" fontId="54" fillId="3" borderId="0" xfId="0" applyFont="1" applyFill="1" applyAlignment="1">
      <alignment horizontal="center"/>
    </xf>
    <xf numFmtId="165" fontId="37" fillId="3" borderId="0" xfId="1" applyNumberFormat="1" applyFont="1" applyFill="1" applyBorder="1" applyAlignment="1">
      <alignment horizontal="center"/>
    </xf>
    <xf numFmtId="0" fontId="30" fillId="5" borderId="0" xfId="0" applyFont="1" applyFill="1"/>
    <xf numFmtId="0" fontId="51" fillId="5" borderId="0" xfId="0" applyFont="1" applyFill="1"/>
    <xf numFmtId="0" fontId="31" fillId="5" borderId="0" xfId="0" applyFont="1" applyFill="1" applyAlignment="1">
      <alignment horizontal="centerContinuous"/>
    </xf>
    <xf numFmtId="37" fontId="0" fillId="0" borderId="0" xfId="0" applyNumberFormat="1"/>
    <xf numFmtId="173" fontId="21" fillId="0" borderId="0" xfId="0" applyNumberFormat="1" applyFont="1" applyAlignment="1">
      <alignment horizontal="center"/>
    </xf>
    <xf numFmtId="173" fontId="21" fillId="5" borderId="0" xfId="0" applyNumberFormat="1" applyFont="1" applyFill="1" applyAlignment="1">
      <alignment horizontal="center"/>
    </xf>
    <xf numFmtId="173" fontId="21" fillId="0" borderId="2" xfId="0" applyNumberFormat="1" applyFont="1" applyBorder="1" applyAlignment="1">
      <alignment horizontal="center"/>
    </xf>
    <xf numFmtId="0" fontId="26" fillId="0" borderId="0" xfId="0" applyFont="1"/>
    <xf numFmtId="0" fontId="26" fillId="5" borderId="0" xfId="0" applyFont="1" applyFill="1"/>
    <xf numFmtId="0" fontId="70" fillId="3" borderId="0" xfId="0" applyFont="1" applyFill="1"/>
    <xf numFmtId="0" fontId="71" fillId="3" borderId="0" xfId="0" applyFont="1" applyFill="1"/>
    <xf numFmtId="0" fontId="31" fillId="0" borderId="0" xfId="0" applyFont="1" applyAlignment="1">
      <alignment horizontal="left" vertical="center"/>
    </xf>
    <xf numFmtId="0" fontId="21" fillId="0" borderId="0" xfId="0" applyFont="1" applyAlignment="1">
      <alignment horizontal="left" vertical="center"/>
    </xf>
    <xf numFmtId="165" fontId="21" fillId="0" borderId="0" xfId="0" applyNumberFormat="1" applyFont="1" applyAlignment="1">
      <alignment horizontal="center" vertical="center"/>
    </xf>
    <xf numFmtId="164" fontId="72" fillId="0" borderId="0" xfId="0" applyNumberFormat="1" applyFont="1" applyAlignment="1">
      <alignment horizontal="center" vertical="center"/>
    </xf>
    <xf numFmtId="2" fontId="72" fillId="0" borderId="0" xfId="0" applyNumberFormat="1" applyFont="1" applyAlignment="1">
      <alignment horizontal="center" vertical="center"/>
    </xf>
    <xf numFmtId="164" fontId="8" fillId="0" borderId="0" xfId="0" applyNumberFormat="1" applyFont="1" applyAlignment="1">
      <alignment horizontal="center" vertical="center" wrapText="1"/>
    </xf>
    <xf numFmtId="2" fontId="8" fillId="0" borderId="0" xfId="0" applyNumberFormat="1" applyFont="1" applyAlignment="1">
      <alignment horizontal="center" vertical="center" wrapText="1"/>
    </xf>
    <xf numFmtId="9" fontId="8" fillId="0" borderId="0" xfId="1" applyFont="1" applyBorder="1" applyAlignment="1">
      <alignment horizontal="center" vertical="center" wrapText="1"/>
    </xf>
    <xf numFmtId="164" fontId="72" fillId="0" borderId="0" xfId="2" applyNumberFormat="1" applyFont="1" applyBorder="1" applyAlignment="1">
      <alignment horizontal="center" vertical="center" wrapText="1"/>
    </xf>
    <xf numFmtId="0" fontId="73" fillId="0" borderId="0" xfId="0" applyFont="1" applyAlignment="1">
      <alignment vertical="center"/>
    </xf>
    <xf numFmtId="165" fontId="72" fillId="0" borderId="0" xfId="1" applyNumberFormat="1" applyFont="1" applyBorder="1" applyAlignment="1">
      <alignment horizontal="center" vertical="center" wrapText="1"/>
    </xf>
    <xf numFmtId="165" fontId="72" fillId="0" borderId="0" xfId="1" applyNumberFormat="1" applyFont="1" applyFill="1" applyBorder="1" applyAlignment="1">
      <alignment horizontal="center" vertical="center" wrapText="1"/>
    </xf>
    <xf numFmtId="165" fontId="21" fillId="0" borderId="0" xfId="1" applyNumberFormat="1" applyFont="1" applyFill="1" applyBorder="1" applyAlignment="1">
      <alignment horizontal="center"/>
    </xf>
    <xf numFmtId="165" fontId="21" fillId="0" borderId="2" xfId="1" applyNumberFormat="1" applyFont="1" applyFill="1" applyBorder="1" applyAlignment="1">
      <alignment horizontal="center"/>
    </xf>
    <xf numFmtId="0" fontId="21" fillId="0" borderId="0" xfId="0" applyFont="1" applyAlignment="1">
      <alignment horizontal="center" vertical="center"/>
    </xf>
    <xf numFmtId="5" fontId="21" fillId="0" borderId="0" xfId="0" applyNumberFormat="1" applyFont="1" applyAlignment="1">
      <alignment horizontal="center" vertical="center"/>
    </xf>
    <xf numFmtId="165" fontId="21" fillId="0" borderId="0" xfId="1" applyNumberFormat="1" applyFont="1" applyFill="1" applyAlignment="1">
      <alignment horizontal="center" vertical="center"/>
    </xf>
    <xf numFmtId="2" fontId="21" fillId="0" borderId="0" xfId="0" applyNumberFormat="1" applyFont="1" applyAlignment="1">
      <alignment horizontal="center" vertical="center"/>
    </xf>
    <xf numFmtId="2" fontId="21" fillId="0" borderId="6" xfId="0" applyNumberFormat="1" applyFont="1" applyBorder="1" applyAlignment="1">
      <alignment horizontal="center"/>
    </xf>
    <xf numFmtId="37" fontId="0" fillId="5" borderId="0" xfId="0" applyNumberFormat="1" applyFill="1"/>
    <xf numFmtId="0" fontId="0" fillId="0" borderId="1" xfId="0" applyBorder="1"/>
    <xf numFmtId="173" fontId="21" fillId="0" borderId="1" xfId="0" applyNumberFormat="1" applyFont="1" applyBorder="1" applyAlignment="1">
      <alignment horizontal="center"/>
    </xf>
    <xf numFmtId="164" fontId="72" fillId="0" borderId="0" xfId="2" applyNumberFormat="1" applyFont="1" applyFill="1" applyBorder="1" applyAlignment="1">
      <alignment horizontal="center" vertical="center" wrapText="1"/>
    </xf>
    <xf numFmtId="173" fontId="21" fillId="0" borderId="0" xfId="1" applyNumberFormat="1" applyFont="1" applyAlignment="1">
      <alignment horizontal="center"/>
    </xf>
    <xf numFmtId="173" fontId="21" fillId="0" borderId="4" xfId="1" applyNumberFormat="1" applyFont="1" applyBorder="1" applyAlignment="1">
      <alignment horizontal="center"/>
    </xf>
    <xf numFmtId="0" fontId="21" fillId="5" borderId="0" xfId="0" applyFont="1" applyFill="1"/>
    <xf numFmtId="0" fontId="21" fillId="5" borderId="0" xfId="0" applyFont="1" applyFill="1" applyAlignment="1">
      <alignment horizontal="centerContinuous"/>
    </xf>
    <xf numFmtId="0" fontId="42" fillId="5" borderId="0" xfId="0" applyFont="1" applyFill="1" applyAlignment="1">
      <alignment horizontal="centerContinuous"/>
    </xf>
    <xf numFmtId="10" fontId="8" fillId="4" borderId="12" xfId="1" applyNumberFormat="1" applyFont="1" applyFill="1" applyBorder="1"/>
    <xf numFmtId="5" fontId="21" fillId="3" borderId="0" xfId="0" applyNumberFormat="1" applyFont="1" applyFill="1" applyAlignment="1">
      <alignment horizontal="center"/>
    </xf>
    <xf numFmtId="5" fontId="21" fillId="6" borderId="0" xfId="0" applyNumberFormat="1" applyFont="1" applyFill="1" applyAlignment="1">
      <alignment horizontal="center"/>
    </xf>
    <xf numFmtId="5" fontId="21" fillId="0" borderId="4" xfId="1" applyNumberFormat="1" applyFont="1" applyFill="1" applyBorder="1" applyAlignment="1">
      <alignment horizontal="center"/>
    </xf>
    <xf numFmtId="10" fontId="5" fillId="3" borderId="0" xfId="1" applyNumberFormat="1" applyFont="1" applyFill="1" applyAlignment="1">
      <alignment horizontal="right"/>
    </xf>
    <xf numFmtId="10" fontId="5" fillId="3" borderId="0" xfId="0" applyNumberFormat="1" applyFont="1" applyFill="1"/>
    <xf numFmtId="10" fontId="5" fillId="4" borderId="0" xfId="1" applyNumberFormat="1" applyFont="1" applyFill="1"/>
    <xf numFmtId="10" fontId="5" fillId="3" borderId="0" xfId="1" applyNumberFormat="1" applyFont="1" applyFill="1"/>
    <xf numFmtId="174" fontId="21" fillId="0" borderId="6" xfId="1" applyNumberFormat="1" applyFont="1" applyBorder="1" applyAlignment="1">
      <alignment horizontal="center"/>
    </xf>
    <xf numFmtId="174" fontId="21" fillId="0" borderId="3" xfId="0" applyNumberFormat="1" applyFont="1" applyBorder="1" applyAlignment="1">
      <alignment horizontal="center"/>
    </xf>
    <xf numFmtId="174" fontId="21" fillId="0" borderId="0" xfId="0" applyNumberFormat="1" applyFont="1" applyAlignment="1">
      <alignment horizontal="center"/>
    </xf>
    <xf numFmtId="174" fontId="21" fillId="0" borderId="1" xfId="0" applyNumberFormat="1" applyFont="1" applyBorder="1" applyAlignment="1">
      <alignment horizontal="center"/>
    </xf>
    <xf numFmtId="174" fontId="21" fillId="0" borderId="2" xfId="0" applyNumberFormat="1" applyFont="1" applyBorder="1" applyAlignment="1">
      <alignment horizontal="center"/>
    </xf>
    <xf numFmtId="0" fontId="42" fillId="0" borderId="0" xfId="0" applyFont="1"/>
    <xf numFmtId="5" fontId="42" fillId="0" borderId="0" xfId="0" applyNumberFormat="1" applyFont="1" applyAlignment="1">
      <alignment horizontal="center"/>
    </xf>
    <xf numFmtId="5" fontId="59" fillId="9" borderId="4" xfId="0" applyNumberFormat="1" applyFont="1" applyFill="1" applyBorder="1" applyAlignment="1">
      <alignment horizontal="center"/>
    </xf>
    <xf numFmtId="169" fontId="60" fillId="9" borderId="7" xfId="0" applyNumberFormat="1" applyFont="1" applyFill="1" applyBorder="1" applyAlignment="1">
      <alignment horizontal="center"/>
    </xf>
    <xf numFmtId="169" fontId="60" fillId="9" borderId="1" xfId="0" applyNumberFormat="1" applyFont="1" applyFill="1" applyBorder="1" applyAlignment="1">
      <alignment horizontal="center"/>
    </xf>
    <xf numFmtId="169" fontId="60" fillId="9" borderId="8" xfId="0" applyNumberFormat="1" applyFont="1" applyFill="1" applyBorder="1" applyAlignment="1">
      <alignment horizontal="center"/>
    </xf>
    <xf numFmtId="10" fontId="67" fillId="9" borderId="0" xfId="0" applyNumberFormat="1" applyFont="1" applyFill="1"/>
    <xf numFmtId="10" fontId="67" fillId="9" borderId="0" xfId="1" applyNumberFormat="1" applyFont="1" applyFill="1"/>
    <xf numFmtId="10" fontId="22" fillId="3" borderId="15" xfId="0" applyNumberFormat="1" applyFont="1" applyFill="1" applyBorder="1"/>
    <xf numFmtId="0" fontId="8" fillId="0" borderId="5" xfId="0" applyFont="1" applyBorder="1"/>
    <xf numFmtId="5" fontId="21" fillId="0" borderId="0" xfId="0" applyNumberFormat="1" applyFont="1"/>
    <xf numFmtId="0" fontId="22" fillId="0" borderId="2" xfId="0" applyFont="1" applyBorder="1"/>
    <xf numFmtId="0" fontId="21" fillId="0" borderId="2" xfId="0" applyFont="1" applyBorder="1"/>
    <xf numFmtId="5" fontId="22" fillId="0" borderId="2" xfId="0" applyNumberFormat="1" applyFont="1" applyBorder="1" applyAlignment="1">
      <alignment horizontal="center"/>
    </xf>
    <xf numFmtId="5" fontId="22" fillId="0" borderId="4" xfId="0" applyNumberFormat="1" applyFont="1" applyBorder="1"/>
    <xf numFmtId="0" fontId="31" fillId="0" borderId="0" xfId="0" applyFont="1" applyAlignment="1">
      <alignment horizontal="center"/>
    </xf>
    <xf numFmtId="0" fontId="42" fillId="0" borderId="0" xfId="0" applyFont="1" applyAlignment="1">
      <alignment horizontal="center"/>
    </xf>
    <xf numFmtId="5" fontId="42" fillId="0" borderId="0" xfId="0" applyNumberFormat="1" applyFont="1"/>
    <xf numFmtId="165" fontId="64" fillId="9" borderId="0" xfId="1" applyNumberFormat="1" applyFont="1" applyFill="1" applyAlignment="1">
      <alignment horizontal="center"/>
    </xf>
    <xf numFmtId="165" fontId="66" fillId="9" borderId="0" xfId="1" applyNumberFormat="1" applyFont="1" applyFill="1" applyAlignment="1">
      <alignment horizontal="center"/>
    </xf>
    <xf numFmtId="10" fontId="22" fillId="7" borderId="4" xfId="1" applyNumberFormat="1" applyFont="1" applyFill="1" applyBorder="1" applyAlignment="1">
      <alignment horizontal="center"/>
    </xf>
    <xf numFmtId="10" fontId="22" fillId="7" borderId="15" xfId="0" applyNumberFormat="1" applyFont="1" applyFill="1" applyBorder="1"/>
    <xf numFmtId="5" fontId="5" fillId="3" borderId="4" xfId="0" applyNumberFormat="1" applyFont="1" applyFill="1" applyBorder="1" applyAlignment="1">
      <alignment horizontal="center"/>
    </xf>
    <xf numFmtId="0" fontId="4" fillId="2" borderId="0" xfId="0" applyFont="1" applyFill="1" applyAlignment="1">
      <alignment horizontal="centerContinuous"/>
    </xf>
    <xf numFmtId="175" fontId="73" fillId="0" borderId="0" xfId="1" applyNumberFormat="1" applyFont="1" applyAlignment="1">
      <alignment horizontal="center" vertical="center"/>
    </xf>
    <xf numFmtId="0" fontId="76" fillId="0" borderId="0" xfId="0" applyFont="1" applyAlignment="1">
      <alignment vertical="center"/>
    </xf>
    <xf numFmtId="0" fontId="22" fillId="3" borderId="14" xfId="0" applyFont="1" applyFill="1" applyBorder="1" applyAlignment="1">
      <alignment horizontal="right" vertical="center" textRotation="90"/>
    </xf>
    <xf numFmtId="0" fontId="74" fillId="5" borderId="0" xfId="0" applyFont="1" applyFill="1" applyAlignment="1">
      <alignment horizontal="center" vertical="center" wrapText="1"/>
    </xf>
    <xf numFmtId="0" fontId="75" fillId="0" borderId="0" xfId="0" applyFont="1" applyAlignment="1">
      <alignment horizontal="center" vertical="center" wrapText="1"/>
    </xf>
    <xf numFmtId="0" fontId="8" fillId="3" borderId="14" xfId="0" applyFont="1" applyFill="1" applyBorder="1" applyAlignment="1">
      <alignment horizontal="right" vertical="center" textRotation="90" wrapText="1"/>
    </xf>
    <xf numFmtId="0" fontId="8" fillId="3" borderId="0" xfId="0" applyFont="1" applyFill="1"/>
    <xf numFmtId="0" fontId="22" fillId="3" borderId="0" xfId="0" applyFont="1" applyFill="1" applyAlignment="1">
      <alignment horizontal="left"/>
    </xf>
    <xf numFmtId="0" fontId="74" fillId="0" borderId="0" xfId="0" applyFont="1" applyFill="1" applyBorder="1" applyAlignment="1">
      <alignment vertical="center"/>
    </xf>
    <xf numFmtId="0" fontId="77" fillId="0" borderId="0" xfId="0" applyFont="1" applyFill="1" applyBorder="1" applyAlignment="1">
      <alignment vertical="center"/>
    </xf>
    <xf numFmtId="0" fontId="79" fillId="9" borderId="16" xfId="0" applyFont="1" applyFill="1" applyBorder="1" applyAlignment="1">
      <alignment horizontal="center" vertical="center"/>
    </xf>
    <xf numFmtId="0" fontId="78" fillId="5" borderId="5" xfId="0" applyFont="1" applyFill="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850F88"/>
      <color rgb="FFF0E6FE"/>
      <color rgb="FFDBBDF9"/>
      <color rgb="FFFCC4F0"/>
      <color rgb="FFE5D3FD"/>
      <color rgb="FFF6F0FE"/>
      <color rgb="FFFBE0FC"/>
      <color rgb="FFF9D2FA"/>
      <color rgb="FF018942"/>
      <color rgb="FFF8C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ichStyles" Target="richData/richStyles.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5" Type="http://schemas.openxmlformats.org/officeDocument/2006/relationships/customXml" Target="../customXml/item3.xml"/><Relationship Id="rId2" Type="http://schemas.openxmlformats.org/officeDocument/2006/relationships/worksheet" Target="worksheets/sheet2.xml"/><Relationship Id="rId16" Type="http://schemas.microsoft.com/office/2017/06/relationships/rdRichValue" Target="richData/rdrichvalue.xml"/><Relationship Id="rId20"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SupportingPropertyBagStructure" Target="richData/rdsupportingpropertybag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chemeClr val="tx1"/>
                </a:solidFill>
                <a:latin typeface="Times New Roman" panose="02020603050405020304" pitchFamily="18" charset="0"/>
                <a:cs typeface="Times New Roman" panose="02020603050405020304" pitchFamily="18" charset="0"/>
              </a:rPr>
              <a:t>Comparable</a:t>
            </a:r>
            <a:r>
              <a:rPr lang="en-US" sz="1800" b="1" baseline="0">
                <a:solidFill>
                  <a:schemeClr val="tx1"/>
                </a:solidFill>
                <a:latin typeface="Times New Roman" panose="02020603050405020304" pitchFamily="18" charset="0"/>
                <a:cs typeface="Times New Roman" panose="02020603050405020304" pitchFamily="18" charset="0"/>
              </a:rPr>
              <a:t> Valuation Ranges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spPr>
            <a:noFill/>
            <a:ln>
              <a:noFill/>
            </a:ln>
            <a:effectLst/>
          </c:spPr>
          <c:invertIfNegative val="0"/>
          <c:dLbls>
            <c:numFmt formatCode="&quot;$&quot;#,##0_);\(&quot;$&quot;#,##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'CCA Overview'!$T$13:$T$18</c:f>
              <c:strCache>
                <c:ptCount val="6"/>
                <c:pt idx="0">
                  <c:v>LTM SALES</c:v>
                </c:pt>
                <c:pt idx="1">
                  <c:v>LTM EBIT</c:v>
                </c:pt>
                <c:pt idx="2">
                  <c:v>2021 EBITDA</c:v>
                </c:pt>
                <c:pt idx="3">
                  <c:v>2022 EBITDA</c:v>
                </c:pt>
                <c:pt idx="4">
                  <c:v>LTM EBITDA</c:v>
                </c:pt>
                <c:pt idx="5">
                  <c:v>Median Implied EV</c:v>
                </c:pt>
              </c:strCache>
            </c:strRef>
          </c:cat>
          <c:val>
            <c:numRef>
              <c:f>'CCA Overview'!$U$13:$U$18</c:f>
              <c:numCache>
                <c:formatCode>"$"#,##0_);\("$"#,##0\)</c:formatCode>
                <c:ptCount val="6"/>
                <c:pt idx="0">
                  <c:v>18186</c:v>
                </c:pt>
                <c:pt idx="1">
                  <c:v>18496</c:v>
                </c:pt>
                <c:pt idx="2">
                  <c:v>18757.899999999998</c:v>
                </c:pt>
                <c:pt idx="3">
                  <c:v>18473</c:v>
                </c:pt>
                <c:pt idx="4">
                  <c:v>18124</c:v>
                </c:pt>
                <c:pt idx="5">
                  <c:v>18473</c:v>
                </c:pt>
              </c:numCache>
            </c:numRef>
          </c:val>
          <c:extLst>
            <c:ext xmlns:c16="http://schemas.microsoft.com/office/drawing/2014/chart" uri="{C3380CC4-5D6E-409C-BE32-E72D297353CC}">
              <c16:uniqueId val="{00000000-F301-4F9C-B33D-606BFC1CA538}"/>
            </c:ext>
          </c:extLst>
        </c:ser>
        <c:ser>
          <c:idx val="1"/>
          <c:order val="1"/>
          <c:spPr>
            <a:solidFill>
              <a:srgbClr val="850F88"/>
            </a:solidFill>
            <a:ln>
              <a:noFill/>
            </a:ln>
            <a:effectLst/>
          </c:spPr>
          <c:invertIfNegative val="0"/>
          <c:dPt>
            <c:idx val="0"/>
            <c:invertIfNegative val="0"/>
            <c:bubble3D val="0"/>
            <c:spPr>
              <a:solidFill>
                <a:srgbClr val="850F88"/>
              </a:solidFill>
              <a:ln>
                <a:noFill/>
              </a:ln>
              <a:effectLst/>
            </c:spPr>
            <c:extLst>
              <c:ext xmlns:c16="http://schemas.microsoft.com/office/drawing/2014/chart" uri="{C3380CC4-5D6E-409C-BE32-E72D297353CC}">
                <c16:uniqueId val="{00000009-F301-4F9C-B33D-606BFC1CA538}"/>
              </c:ext>
            </c:extLst>
          </c:dPt>
          <c:dPt>
            <c:idx val="1"/>
            <c:invertIfNegative val="0"/>
            <c:bubble3D val="0"/>
            <c:spPr>
              <a:solidFill>
                <a:srgbClr val="850F88"/>
              </a:solidFill>
              <a:ln>
                <a:noFill/>
              </a:ln>
              <a:effectLst/>
            </c:spPr>
            <c:extLst>
              <c:ext xmlns:c16="http://schemas.microsoft.com/office/drawing/2014/chart" uri="{C3380CC4-5D6E-409C-BE32-E72D297353CC}">
                <c16:uniqueId val="{00000008-F301-4F9C-B33D-606BFC1CA538}"/>
              </c:ext>
            </c:extLst>
          </c:dPt>
          <c:dPt>
            <c:idx val="2"/>
            <c:invertIfNegative val="0"/>
            <c:bubble3D val="0"/>
            <c:spPr>
              <a:solidFill>
                <a:srgbClr val="850F88"/>
              </a:solidFill>
              <a:ln>
                <a:noFill/>
              </a:ln>
              <a:effectLst/>
            </c:spPr>
            <c:extLst>
              <c:ext xmlns:c16="http://schemas.microsoft.com/office/drawing/2014/chart" uri="{C3380CC4-5D6E-409C-BE32-E72D297353CC}">
                <c16:uniqueId val="{00000007-F301-4F9C-B33D-606BFC1CA538}"/>
              </c:ext>
            </c:extLst>
          </c:dPt>
          <c:dPt>
            <c:idx val="3"/>
            <c:invertIfNegative val="0"/>
            <c:bubble3D val="0"/>
            <c:spPr>
              <a:solidFill>
                <a:srgbClr val="850F88"/>
              </a:solidFill>
              <a:ln>
                <a:noFill/>
              </a:ln>
              <a:effectLst/>
            </c:spPr>
            <c:extLst>
              <c:ext xmlns:c16="http://schemas.microsoft.com/office/drawing/2014/chart" uri="{C3380CC4-5D6E-409C-BE32-E72D297353CC}">
                <c16:uniqueId val="{00000006-F301-4F9C-B33D-606BFC1CA538}"/>
              </c:ext>
            </c:extLst>
          </c:dPt>
          <c:dPt>
            <c:idx val="4"/>
            <c:invertIfNegative val="0"/>
            <c:bubble3D val="0"/>
            <c:spPr>
              <a:solidFill>
                <a:srgbClr val="850F88"/>
              </a:solidFill>
              <a:ln>
                <a:noFill/>
              </a:ln>
              <a:effectLst/>
            </c:spPr>
            <c:extLst>
              <c:ext xmlns:c16="http://schemas.microsoft.com/office/drawing/2014/chart" uri="{C3380CC4-5D6E-409C-BE32-E72D297353CC}">
                <c16:uniqueId val="{00000005-F301-4F9C-B33D-606BFC1CA538}"/>
              </c:ext>
            </c:extLst>
          </c:dPt>
          <c:dPt>
            <c:idx val="5"/>
            <c:invertIfNegative val="0"/>
            <c:bubble3D val="0"/>
            <c:spPr>
              <a:solidFill>
                <a:srgbClr val="850F88">
                  <a:alpha val="25000"/>
                </a:srgbClr>
              </a:solidFill>
              <a:ln>
                <a:noFill/>
              </a:ln>
              <a:effectLst/>
            </c:spPr>
            <c:extLst>
              <c:ext xmlns:c16="http://schemas.microsoft.com/office/drawing/2014/chart" uri="{C3380CC4-5D6E-409C-BE32-E72D297353CC}">
                <c16:uniqueId val="{00000004-F301-4F9C-B33D-606BFC1CA538}"/>
              </c:ext>
            </c:extLst>
          </c:dPt>
          <c:cat>
            <c:strRef>
              <c:f>'CCA Overview'!$T$13:$T$18</c:f>
              <c:strCache>
                <c:ptCount val="6"/>
                <c:pt idx="0">
                  <c:v>LTM SALES</c:v>
                </c:pt>
                <c:pt idx="1">
                  <c:v>LTM EBIT</c:v>
                </c:pt>
                <c:pt idx="2">
                  <c:v>2021 EBITDA</c:v>
                </c:pt>
                <c:pt idx="3">
                  <c:v>2022 EBITDA</c:v>
                </c:pt>
                <c:pt idx="4">
                  <c:v>LTM EBITDA</c:v>
                </c:pt>
                <c:pt idx="5">
                  <c:v>Median Implied EV</c:v>
                </c:pt>
              </c:strCache>
            </c:strRef>
          </c:cat>
          <c:val>
            <c:numRef>
              <c:f>'CCA Overview'!$V$13:$V$18</c:f>
              <c:numCache>
                <c:formatCode>General</c:formatCode>
                <c:ptCount val="6"/>
                <c:pt idx="0">
                  <c:v>4546.5</c:v>
                </c:pt>
                <c:pt idx="1">
                  <c:v>2176</c:v>
                </c:pt>
                <c:pt idx="2">
                  <c:v>1033.9000000000015</c:v>
                </c:pt>
                <c:pt idx="3">
                  <c:v>1421</c:v>
                </c:pt>
                <c:pt idx="4">
                  <c:v>3152</c:v>
                </c:pt>
                <c:pt idx="5">
                  <c:v>2199</c:v>
                </c:pt>
              </c:numCache>
            </c:numRef>
          </c:val>
          <c:extLst>
            <c:ext xmlns:c16="http://schemas.microsoft.com/office/drawing/2014/chart" uri="{C3380CC4-5D6E-409C-BE32-E72D297353CC}">
              <c16:uniqueId val="{00000001-F301-4F9C-B33D-606BFC1CA538}"/>
            </c:ext>
          </c:extLst>
        </c:ser>
        <c:ser>
          <c:idx val="2"/>
          <c:order val="2"/>
          <c:spPr>
            <a:noFill/>
            <a:ln>
              <a:noFill/>
            </a:ln>
            <a:effectLst/>
          </c:spPr>
          <c:invertIfNegative val="0"/>
          <c:dLbls>
            <c:numFmt formatCode="&quot;$&quot;#,##0_);\(&quot;$&quot;#,##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'CCA Overview'!$T$13:$T$18</c:f>
              <c:strCache>
                <c:ptCount val="6"/>
                <c:pt idx="0">
                  <c:v>LTM SALES</c:v>
                </c:pt>
                <c:pt idx="1">
                  <c:v>LTM EBIT</c:v>
                </c:pt>
                <c:pt idx="2">
                  <c:v>2021 EBITDA</c:v>
                </c:pt>
                <c:pt idx="3">
                  <c:v>2022 EBITDA</c:v>
                </c:pt>
                <c:pt idx="4">
                  <c:v>LTM EBITDA</c:v>
                </c:pt>
                <c:pt idx="5">
                  <c:v>Median Implied EV</c:v>
                </c:pt>
              </c:strCache>
            </c:strRef>
          </c:cat>
          <c:val>
            <c:numRef>
              <c:f>'CCA Overview'!$W$13:$W$18</c:f>
              <c:numCache>
                <c:formatCode>"$"#,##0_);\("$"#,##0\)</c:formatCode>
                <c:ptCount val="6"/>
                <c:pt idx="0">
                  <c:v>22732.5</c:v>
                </c:pt>
                <c:pt idx="1">
                  <c:v>20672</c:v>
                </c:pt>
                <c:pt idx="2">
                  <c:v>19791.8</c:v>
                </c:pt>
                <c:pt idx="3">
                  <c:v>19894</c:v>
                </c:pt>
                <c:pt idx="4">
                  <c:v>21276</c:v>
                </c:pt>
                <c:pt idx="5">
                  <c:v>20672</c:v>
                </c:pt>
              </c:numCache>
            </c:numRef>
          </c:val>
          <c:extLst>
            <c:ext xmlns:c16="http://schemas.microsoft.com/office/drawing/2014/chart" uri="{C3380CC4-5D6E-409C-BE32-E72D297353CC}">
              <c16:uniqueId val="{00000002-F301-4F9C-B33D-606BFC1CA538}"/>
            </c:ext>
          </c:extLst>
        </c:ser>
        <c:dLbls>
          <c:showLegendKey val="0"/>
          <c:showVal val="0"/>
          <c:showCatName val="0"/>
          <c:showSerName val="0"/>
          <c:showPercent val="0"/>
          <c:showBubbleSize val="0"/>
        </c:dLbls>
        <c:gapWidth val="100"/>
        <c:overlap val="100"/>
        <c:axId val="273079824"/>
        <c:axId val="272929536"/>
      </c:barChart>
      <c:catAx>
        <c:axId val="273079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72929536"/>
        <c:crosses val="autoZero"/>
        <c:auto val="1"/>
        <c:lblAlgn val="ctr"/>
        <c:lblOffset val="100"/>
        <c:noMultiLvlLbl val="0"/>
      </c:catAx>
      <c:valAx>
        <c:axId val="272929536"/>
        <c:scaling>
          <c:orientation val="minMax"/>
          <c:max val="24000"/>
          <c:min val="17000"/>
        </c:scaling>
        <c:delete val="0"/>
        <c:axPos val="b"/>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73079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18</xdr:col>
      <xdr:colOff>0</xdr:colOff>
      <xdr:row>39</xdr:row>
      <xdr:rowOff>0</xdr:rowOff>
    </xdr:to>
    <xdr:graphicFrame macro="">
      <xdr:nvGraphicFramePr>
        <xdr:cNvPr id="6" name="Chart 5">
          <a:extLst>
            <a:ext uri="{FF2B5EF4-FFF2-40B4-BE49-F238E27FC236}">
              <a16:creationId xmlns:a16="http://schemas.microsoft.com/office/drawing/2014/main" id="{92F941B5-1A7D-1276-DDBA-04F44F8C0B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3">
  <rv s="0">
    <v>https://www.bing.com/financeapi/forcetrigger?t=a1wt7w&amp;q=XNYS%3aLDOS&amp;form=skydnc</v>
    <v>Learn more on Bing</v>
  </rv>
  <rv s="1">
    <v>en-US</v>
    <v>a1wt7w</v>
    <v>268435456</v>
    <v>1</v>
    <v>Powered by Refinitiv</v>
    <v>0</v>
    <v>LEIDOS HOLDINGS, INC. (XNYS:LDOS)</v>
    <v>2</v>
    <v>3</v>
    <v>Finance</v>
    <v>4</v>
    <v>113.5</v>
    <v>76.58</v>
    <v>0.67730000000000001</v>
    <v>-0.2</v>
    <v>0</v>
    <v>-1.8029999999999999E-3</v>
    <v>0</v>
    <v>USD</v>
    <v>Leidos Holdings, Inc. is a holding company, which operates through its subsidiary, Leidos, Inc. It is a technology, engineering and science company that provides services and solutions in the defense, intelligence, civil and health markets, both domestically and internationally. It has three segments. Defense Solutions segment provides technologically advanced services, solutions and products to a customer base. Its technologies cover a spectrum of markets with primary areas of concentration in digital modernization, mission systems and integration, command, and other. Civil segment is focused on modernizing infrastructure, systems and security for government and commercial customers both domestically and internationally. It provides data-driven insights, improved efficiencies and technological advantages. Health segment offers solutions to federal and commercial customers that are responsible for the health and well-being of people worldwide, including service members and veterans.</v>
    <v>45000</v>
    <v>New York Stock Exchange</v>
    <v>XNYS</v>
    <v>XNYS</v>
    <v>1750 Presidents Street, RESTON, VA, 20190 US</v>
    <v>111.16</v>
    <v>Software &amp; IT Services</v>
    <v>Stock</v>
    <v>45327.899364860939</v>
    <v>0</v>
    <v>108.97</v>
    <v>15226083672</v>
    <v>LEIDOS HOLDINGS, INC.</v>
    <v>LEIDOS HOLDINGS, INC.</v>
    <v>110.15</v>
    <v>106.2436</v>
    <v>110.93</v>
    <v>110.73</v>
    <v>110.73</v>
    <v>137506400</v>
    <v>LDOS</v>
    <v>LEIDOS HOLDINGS, INC. (XNYS:LDOS)</v>
    <v>729000</v>
    <v>625745</v>
    <v>2005</v>
  </rv>
  <rv s="2">
    <v>1</v>
  </rv>
</rvData>
</file>

<file path=xl/richData/rdrichvaluestructure.xml><?xml version="1.0" encoding="utf-8"?>
<rvStructures xmlns="http://schemas.microsoft.com/office/spreadsheetml/2017/richdata" count="3">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rvStructures>
</file>

<file path=xl/richData/rdsupportingpropertybag.xml><?xml version="1.0" encoding="utf-8"?>
<supportingPropertyBags xmlns="http://schemas.microsoft.com/office/spreadsheetml/2017/richdata2">
  <spbArrays count="1">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5">
    <spb s="0">
      <v>0</v>
      <v>Name</v>
      <v>LearnMoreOnLink</v>
    </spb>
    <spb s="1">
      <v>0</v>
      <v>0</v>
      <v>0</v>
    </spb>
    <spb s="2">
      <v>1</v>
      <v>1</v>
      <v>1</v>
      <v>1</v>
    </spb>
    <spb s="3">
      <v>1</v>
      <v>2</v>
      <v>2</v>
      <v>1</v>
      <v>3</v>
      <v>1</v>
      <v>1</v>
      <v>1</v>
      <v>4</v>
      <v>4</v>
      <v>5</v>
      <v>6</v>
      <v>1</v>
      <v>1</v>
      <v>1</v>
      <v>4</v>
      <v>7</v>
      <v>8</v>
      <v>9</v>
      <v>4</v>
      <v>1</v>
      <v>1</v>
      <v>5</v>
    </spb>
    <spb s="4">
      <v>at close</v>
      <v>from previous close</v>
      <v>from previous close</v>
      <v>Source: Nasdaq Last Sale</v>
      <v>GMT</v>
      <v>Real-Time Nasdaq Last Sale</v>
      <v>from close</v>
      <v>from close</v>
    </spb>
  </spbData>
</supportingPropertyBags>
</file>

<file path=xl/richData/rdsupportingpropertybagstructure.xml><?xml version="1.0" encoding="utf-8"?>
<spbStructures xmlns="http://schemas.microsoft.com/office/spreadsheetml/2017/richdata2" count="5">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m/d/yyyy\ h:mm"/>
    </x:dxf>
    <x:dxf>
      <x:numFmt numFmtId="14" formatCode="0.00%"/>
    </x:dxf>
    <x:dxf>
      <x:numFmt numFmtId="3" formatCode="#,##0"/>
    </x:dxf>
    <x:dxf>
      <x:numFmt numFmtId="4" formatCode="#,##0.00"/>
    </x:dxf>
    <x:dxf>
      <x:numFmt numFmtId="1" formatCode="0"/>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6EED-1AB7-4CC9-8F3B-EC76866B1806}">
  <sheetPr>
    <pageSetUpPr fitToPage="1"/>
  </sheetPr>
  <dimension ref="A1:W88"/>
  <sheetViews>
    <sheetView showGridLines="0" tabSelected="1" zoomScale="80" zoomScaleNormal="80" workbookViewId="0"/>
  </sheetViews>
  <sheetFormatPr defaultColWidth="8.85546875" defaultRowHeight="15" x14ac:dyDescent="0.25"/>
  <cols>
    <col min="1" max="1" width="2.85546875" customWidth="1"/>
    <col min="2" max="2" width="28.85546875" customWidth="1"/>
    <col min="3" max="3" width="8" customWidth="1"/>
    <col min="4" max="4" width="7" customWidth="1"/>
    <col min="5" max="9" width="12.85546875" customWidth="1"/>
    <col min="10" max="10" width="2.85546875" customWidth="1"/>
    <col min="11" max="15" width="12.85546875" customWidth="1"/>
    <col min="16" max="16" width="10.140625" bestFit="1" customWidth="1"/>
    <col min="17" max="17" width="9.140625" bestFit="1" customWidth="1"/>
    <col min="18" max="18" width="34.140625" customWidth="1"/>
    <col min="19" max="20" width="7" bestFit="1" customWidth="1"/>
  </cols>
  <sheetData>
    <row r="1" spans="1:23" s="232" customFormat="1" x14ac:dyDescent="0.25">
      <c r="A1" s="422"/>
    </row>
    <row r="2" spans="1:23" s="232" customFormat="1" ht="34.5" x14ac:dyDescent="0.45">
      <c r="A2" s="422"/>
      <c r="B2" s="423" t="s">
        <v>0</v>
      </c>
      <c r="C2" s="201"/>
    </row>
    <row r="3" spans="1:23" x14ac:dyDescent="0.25">
      <c r="A3" s="190"/>
    </row>
    <row r="4" spans="1:23" ht="18.75" customHeight="1" x14ac:dyDescent="0.25">
      <c r="A4" s="190"/>
      <c r="G4" s="499" t="s">
        <v>292</v>
      </c>
    </row>
    <row r="5" spans="1:23" ht="18.75" customHeight="1" x14ac:dyDescent="0.25">
      <c r="A5" s="190"/>
      <c r="D5" s="506"/>
      <c r="E5" s="509" t="s">
        <v>1</v>
      </c>
      <c r="F5" s="508">
        <v>2</v>
      </c>
      <c r="G5" s="499" t="s">
        <v>294</v>
      </c>
    </row>
    <row r="6" spans="1:23" ht="18.75" customHeight="1" x14ac:dyDescent="0.25">
      <c r="A6" s="190"/>
      <c r="D6" s="506"/>
      <c r="E6" s="506"/>
      <c r="F6" s="507"/>
      <c r="G6" s="499" t="s">
        <v>293</v>
      </c>
    </row>
    <row r="7" spans="1:23" x14ac:dyDescent="0.25">
      <c r="A7" s="190"/>
    </row>
    <row r="8" spans="1:23" ht="15.75" x14ac:dyDescent="0.25">
      <c r="A8" s="190"/>
      <c r="B8" s="316" t="s">
        <v>2</v>
      </c>
      <c r="C8" s="197"/>
      <c r="D8" s="197"/>
      <c r="E8" s="198">
        <v>2018</v>
      </c>
      <c r="F8" s="198">
        <v>2019</v>
      </c>
      <c r="G8" s="198">
        <v>2020</v>
      </c>
      <c r="H8" s="198">
        <v>2021</v>
      </c>
      <c r="I8" s="198">
        <v>2022</v>
      </c>
      <c r="J8" s="216"/>
      <c r="K8" s="199">
        <v>2023</v>
      </c>
      <c r="L8" s="199">
        <v>2024</v>
      </c>
      <c r="M8" s="199">
        <v>2025</v>
      </c>
      <c r="N8" s="199">
        <v>2026</v>
      </c>
      <c r="O8" s="199">
        <v>2027</v>
      </c>
      <c r="P8" s="203"/>
      <c r="Q8" s="203"/>
      <c r="S8" s="203"/>
      <c r="T8" s="203"/>
      <c r="U8" s="3"/>
      <c r="V8" s="3"/>
      <c r="W8" s="3"/>
    </row>
    <row r="9" spans="1:23" x14ac:dyDescent="0.25">
      <c r="A9" s="190"/>
      <c r="U9" s="3"/>
      <c r="V9" s="3"/>
      <c r="W9" s="3"/>
    </row>
    <row r="10" spans="1:23" ht="15.75" x14ac:dyDescent="0.25">
      <c r="A10" s="190" t="s">
        <v>3</v>
      </c>
      <c r="B10" s="166" t="s">
        <v>4</v>
      </c>
      <c r="C10" s="166"/>
      <c r="D10" s="166"/>
      <c r="E10" s="356">
        <v>10194</v>
      </c>
      <c r="F10" s="356">
        <v>11094</v>
      </c>
      <c r="G10" s="356">
        <v>12297</v>
      </c>
      <c r="H10" s="356">
        <v>13737</v>
      </c>
      <c r="I10" s="356">
        <v>14396</v>
      </c>
      <c r="J10" s="168"/>
      <c r="K10" s="347">
        <f>Assumptions!I36</f>
        <v>15073.68</v>
      </c>
      <c r="L10" s="347">
        <f>Assumptions!J36</f>
        <v>15719.898000000001</v>
      </c>
      <c r="M10" s="347">
        <f>Assumptions!K36</f>
        <v>16326.89565</v>
      </c>
      <c r="N10" s="347">
        <f>Assumptions!L36</f>
        <v>16887.198131212499</v>
      </c>
      <c r="O10" s="347">
        <f>Assumptions!M36</f>
        <v>17393.814075148875</v>
      </c>
      <c r="P10" s="168"/>
      <c r="Q10" s="168"/>
      <c r="S10" s="168"/>
      <c r="T10" s="168"/>
      <c r="U10" s="3"/>
      <c r="V10" s="3"/>
      <c r="W10" s="3"/>
    </row>
    <row r="11" spans="1:23" ht="15.75" x14ac:dyDescent="0.25">
      <c r="A11" s="190"/>
      <c r="B11" s="169" t="s">
        <v>5</v>
      </c>
      <c r="C11" s="169"/>
      <c r="D11" s="169"/>
      <c r="E11" s="170"/>
      <c r="F11" s="234">
        <f>F10/E10-1</f>
        <v>8.8287227781047584E-2</v>
      </c>
      <c r="G11" s="234">
        <f t="shared" ref="G11:I11" si="0">G10/F10-1</f>
        <v>0.10843699296917242</v>
      </c>
      <c r="H11" s="234">
        <f t="shared" si="0"/>
        <v>0.11710173212978781</v>
      </c>
      <c r="I11" s="234">
        <f t="shared" si="0"/>
        <v>4.797262866710339E-2</v>
      </c>
      <c r="J11" s="171"/>
      <c r="K11" s="351">
        <f>Assumptions!I37</f>
        <v>4.707418727424284E-2</v>
      </c>
      <c r="L11" s="351">
        <f>Assumptions!J37</f>
        <v>4.2870619516932829E-2</v>
      </c>
      <c r="M11" s="351">
        <f>Assumptions!K37</f>
        <v>3.8613332605593298E-2</v>
      </c>
      <c r="N11" s="351">
        <f>Assumptions!L37</f>
        <v>3.4317759678490933E-2</v>
      </c>
      <c r="O11" s="351">
        <f>Assumptions!M37</f>
        <v>3.0000000000000027E-2</v>
      </c>
      <c r="P11" s="204"/>
      <c r="Q11" s="346"/>
      <c r="R11" s="240"/>
      <c r="S11" s="204"/>
      <c r="T11" s="204"/>
      <c r="U11" s="3"/>
      <c r="V11" s="3"/>
      <c r="W11" s="3"/>
    </row>
    <row r="12" spans="1:23" ht="15.75" x14ac:dyDescent="0.25">
      <c r="A12" s="190"/>
      <c r="B12" s="172"/>
      <c r="C12" s="172"/>
      <c r="D12" s="172"/>
      <c r="E12" s="168"/>
      <c r="F12" s="168"/>
      <c r="G12" s="168"/>
      <c r="H12" s="168"/>
      <c r="I12" s="168"/>
      <c r="J12" s="168"/>
      <c r="K12" s="352"/>
      <c r="L12" s="352"/>
      <c r="M12" s="352"/>
      <c r="N12" s="352"/>
      <c r="O12" s="352"/>
      <c r="P12" s="173"/>
      <c r="Q12" s="420"/>
      <c r="R12" s="240"/>
      <c r="S12" s="173"/>
      <c r="T12" s="173"/>
      <c r="U12" s="3"/>
      <c r="V12" s="3"/>
      <c r="W12" s="3"/>
    </row>
    <row r="13" spans="1:23" ht="15.75" x14ac:dyDescent="0.25">
      <c r="A13" s="190"/>
      <c r="B13" s="166" t="s">
        <v>6</v>
      </c>
      <c r="C13" s="166"/>
      <c r="D13" s="166"/>
      <c r="E13" s="357">
        <v>8690</v>
      </c>
      <c r="F13" s="357">
        <v>9546</v>
      </c>
      <c r="G13" s="357">
        <v>10560</v>
      </c>
      <c r="H13" s="357">
        <v>11723</v>
      </c>
      <c r="I13" s="357">
        <v>12312</v>
      </c>
      <c r="J13" s="168"/>
      <c r="K13" s="347">
        <f>Assumptions!I40</f>
        <v>12842.77536</v>
      </c>
      <c r="L13" s="347">
        <f>Assumptions!J40</f>
        <v>13377.633198000001</v>
      </c>
      <c r="M13" s="347">
        <f>Assumptions!K40</f>
        <v>13877.8613025</v>
      </c>
      <c r="N13" s="347">
        <f>Assumptions!L40</f>
        <v>14337.231213399411</v>
      </c>
      <c r="O13" s="347">
        <f>Assumptions!M40</f>
        <v>14749.954335726246</v>
      </c>
      <c r="P13" s="168"/>
      <c r="Q13" s="45"/>
      <c r="R13" s="240"/>
      <c r="S13" s="168"/>
      <c r="T13" s="168"/>
      <c r="U13" s="3"/>
      <c r="V13" s="3"/>
      <c r="W13" s="3"/>
    </row>
    <row r="14" spans="1:23" ht="15.75" x14ac:dyDescent="0.25">
      <c r="A14" s="190"/>
      <c r="B14" s="169" t="s">
        <v>7</v>
      </c>
      <c r="C14" s="169"/>
      <c r="D14" s="169"/>
      <c r="E14" s="174">
        <f>E13/E10</f>
        <v>0.85246223268589372</v>
      </c>
      <c r="F14" s="174">
        <f t="shared" ref="F14:I14" si="1">F13/F10</f>
        <v>0.86046511627906974</v>
      </c>
      <c r="G14" s="174">
        <f t="shared" si="1"/>
        <v>0.85874603561844354</v>
      </c>
      <c r="H14" s="174">
        <f t="shared" si="1"/>
        <v>0.85338865836791145</v>
      </c>
      <c r="I14" s="174">
        <f t="shared" si="1"/>
        <v>0.85523756599055289</v>
      </c>
      <c r="J14" s="235"/>
      <c r="K14" s="351">
        <f>Assumptions!I41</f>
        <v>0.85199999999999998</v>
      </c>
      <c r="L14" s="351">
        <f>Assumptions!J41</f>
        <v>0.85099999999999998</v>
      </c>
      <c r="M14" s="351">
        <f>Assumptions!K41</f>
        <v>0.85</v>
      </c>
      <c r="N14" s="351">
        <f>Assumptions!L41</f>
        <v>0.84899999999999998</v>
      </c>
      <c r="O14" s="351">
        <f>Assumptions!M41</f>
        <v>0.84799999999999998</v>
      </c>
      <c r="P14" s="171"/>
      <c r="Q14" s="421"/>
      <c r="R14" s="240"/>
      <c r="S14" s="171"/>
      <c r="T14" s="171"/>
      <c r="U14" s="3"/>
      <c r="V14" s="3"/>
      <c r="W14" s="3"/>
    </row>
    <row r="15" spans="1:23" ht="15.75" x14ac:dyDescent="0.25">
      <c r="A15" s="190"/>
      <c r="B15" s="172"/>
      <c r="C15" s="172"/>
      <c r="D15" s="172"/>
      <c r="E15" s="168"/>
      <c r="F15" s="168"/>
      <c r="G15" s="168"/>
      <c r="H15" s="168"/>
      <c r="I15" s="168"/>
      <c r="J15" s="168"/>
      <c r="K15" s="352"/>
      <c r="L15" s="352"/>
      <c r="M15" s="352"/>
      <c r="N15" s="352"/>
      <c r="O15" s="352"/>
      <c r="P15" s="173"/>
      <c r="Q15" s="34"/>
      <c r="R15" s="240"/>
      <c r="S15" s="173"/>
      <c r="T15" s="173"/>
      <c r="U15" s="3"/>
      <c r="V15" s="3"/>
      <c r="W15" s="3"/>
    </row>
    <row r="16" spans="1:23" ht="15.75" x14ac:dyDescent="0.25">
      <c r="A16" s="190"/>
      <c r="B16" s="175" t="s">
        <v>8</v>
      </c>
      <c r="C16" s="175"/>
      <c r="D16" s="175"/>
      <c r="E16" s="176">
        <f>E10-E13</f>
        <v>1504</v>
      </c>
      <c r="F16" s="176">
        <f t="shared" ref="F16:I16" si="2">F10-F13</f>
        <v>1548</v>
      </c>
      <c r="G16" s="176">
        <f t="shared" si="2"/>
        <v>1737</v>
      </c>
      <c r="H16" s="176">
        <f t="shared" si="2"/>
        <v>2014</v>
      </c>
      <c r="I16" s="176">
        <f t="shared" si="2"/>
        <v>2084</v>
      </c>
      <c r="J16" s="177"/>
      <c r="K16" s="348">
        <f>K10-K13</f>
        <v>2230.9046400000007</v>
      </c>
      <c r="L16" s="348">
        <f t="shared" ref="L16:O16" si="3">L10-L13</f>
        <v>2342.2648019999997</v>
      </c>
      <c r="M16" s="348">
        <f t="shared" si="3"/>
        <v>2449.0343475000009</v>
      </c>
      <c r="N16" s="348">
        <f t="shared" si="3"/>
        <v>2549.966917813088</v>
      </c>
      <c r="O16" s="348">
        <f t="shared" si="3"/>
        <v>2643.859739422629</v>
      </c>
      <c r="P16" s="181"/>
      <c r="Q16" s="181"/>
      <c r="S16" s="181"/>
      <c r="T16" s="181"/>
      <c r="U16" s="3"/>
      <c r="V16" s="3"/>
      <c r="W16" s="3"/>
    </row>
    <row r="17" spans="1:23" x14ac:dyDescent="0.25">
      <c r="A17" s="190"/>
      <c r="B17" s="169" t="s">
        <v>9</v>
      </c>
      <c r="C17" s="169"/>
      <c r="D17" s="169"/>
      <c r="E17" s="174">
        <f>E16/E10</f>
        <v>0.14753776731410634</v>
      </c>
      <c r="F17" s="174">
        <f t="shared" ref="F17:I17" si="4">F16/F10</f>
        <v>0.13953488372093023</v>
      </c>
      <c r="G17" s="174">
        <f t="shared" si="4"/>
        <v>0.14125396438155649</v>
      </c>
      <c r="H17" s="174">
        <f t="shared" si="4"/>
        <v>0.14661134163208853</v>
      </c>
      <c r="I17" s="174">
        <f t="shared" si="4"/>
        <v>0.14476243400944708</v>
      </c>
      <c r="J17" s="177"/>
      <c r="K17" s="353">
        <f>K16/K10</f>
        <v>0.14800000000000005</v>
      </c>
      <c r="L17" s="353">
        <f t="shared" ref="L17:O17" si="5">L16/L10</f>
        <v>0.14899999999999997</v>
      </c>
      <c r="M17" s="353">
        <f t="shared" si="5"/>
        <v>0.15000000000000005</v>
      </c>
      <c r="N17" s="353">
        <f t="shared" si="5"/>
        <v>0.15100000000000005</v>
      </c>
      <c r="O17" s="353">
        <f t="shared" si="5"/>
        <v>0.152</v>
      </c>
      <c r="P17" s="171"/>
      <c r="Q17" s="171"/>
      <c r="R17" s="171"/>
      <c r="S17" s="171"/>
      <c r="T17" s="171"/>
      <c r="U17" s="3"/>
      <c r="V17" s="3"/>
      <c r="W17" s="3"/>
    </row>
    <row r="18" spans="1:23" ht="15.75" x14ac:dyDescent="0.25">
      <c r="A18" s="190"/>
      <c r="B18" s="172"/>
      <c r="C18" s="172"/>
      <c r="D18" s="172"/>
      <c r="E18" s="168"/>
      <c r="F18" s="168"/>
      <c r="G18" s="168"/>
      <c r="H18" s="168"/>
      <c r="I18" s="168"/>
      <c r="J18" s="177"/>
      <c r="K18" s="352"/>
      <c r="L18" s="352"/>
      <c r="M18" s="352"/>
      <c r="N18" s="352"/>
      <c r="O18" s="352"/>
      <c r="P18" s="173"/>
      <c r="Q18" s="173"/>
      <c r="R18" s="324"/>
      <c r="S18" s="173"/>
      <c r="T18" s="173"/>
      <c r="U18" s="3"/>
      <c r="V18" s="3"/>
      <c r="W18" s="3"/>
    </row>
    <row r="19" spans="1:23" ht="15.75" x14ac:dyDescent="0.25">
      <c r="A19" s="190"/>
      <c r="B19" s="166" t="s">
        <v>10</v>
      </c>
      <c r="C19" s="166"/>
      <c r="D19" s="166"/>
      <c r="E19" s="167">
        <f>'Income Statement'!C15+'Income Statement'!C18</f>
        <v>755</v>
      </c>
      <c r="F19" s="167">
        <f>'Income Statement'!D15+'Income Statement'!D18</f>
        <v>636</v>
      </c>
      <c r="G19" s="167">
        <f>'Income Statement'!E15+'Income Statement'!E18</f>
        <v>739</v>
      </c>
      <c r="H19" s="167">
        <f>'Income Statement'!F15+'Income Statement'!F18</f>
        <v>862</v>
      </c>
      <c r="I19" s="167">
        <f>'Income Statement'!G15+'Income Statement'!G18</f>
        <v>996</v>
      </c>
      <c r="J19" s="177"/>
      <c r="K19" s="347">
        <f>Assumptions!I50</f>
        <v>979.78920000000005</v>
      </c>
      <c r="L19" s="347">
        <f>Assumptions!J50</f>
        <v>1033.5832935000001</v>
      </c>
      <c r="M19" s="347">
        <f>Assumptions!K50</f>
        <v>1085.7385607250001</v>
      </c>
      <c r="N19" s="347">
        <f>Assumptions!L50</f>
        <v>1135.6640743240407</v>
      </c>
      <c r="O19" s="347">
        <f>Assumptions!M50</f>
        <v>1182.7793571101236</v>
      </c>
      <c r="P19" s="168"/>
      <c r="Q19" s="168"/>
      <c r="R19" s="113"/>
      <c r="S19" s="168"/>
      <c r="T19" s="168"/>
      <c r="U19" s="3"/>
      <c r="V19" s="3"/>
      <c r="W19" s="3"/>
    </row>
    <row r="20" spans="1:23" ht="15.75" x14ac:dyDescent="0.25">
      <c r="A20" s="190"/>
      <c r="B20" s="169" t="s">
        <v>7</v>
      </c>
      <c r="C20" s="169"/>
      <c r="D20" s="169"/>
      <c r="E20" s="174">
        <f>E19/E10</f>
        <v>7.4063174416323332E-2</v>
      </c>
      <c r="F20" s="174">
        <f t="shared" ref="F20:I20" si="6">F19/F10</f>
        <v>5.7328285559762035E-2</v>
      </c>
      <c r="G20" s="174">
        <f t="shared" si="6"/>
        <v>6.0095958363828576E-2</v>
      </c>
      <c r="H20" s="174">
        <f t="shared" si="6"/>
        <v>6.2750236587318917E-2</v>
      </c>
      <c r="I20" s="174">
        <f t="shared" si="6"/>
        <v>6.9185884968046674E-2</v>
      </c>
      <c r="J20" s="236"/>
      <c r="K20" s="351">
        <f>Assumptions!I51</f>
        <v>6.5000000000000002E-2</v>
      </c>
      <c r="L20" s="351">
        <f>Assumptions!J51</f>
        <v>6.5750000000000003E-2</v>
      </c>
      <c r="M20" s="351">
        <f>Assumptions!K51</f>
        <v>6.6500000000000004E-2</v>
      </c>
      <c r="N20" s="351">
        <f>Assumptions!L51</f>
        <v>6.7250000000000004E-2</v>
      </c>
      <c r="O20" s="351">
        <f>Assumptions!M51</f>
        <v>6.8000000000000005E-2</v>
      </c>
      <c r="P20" s="171"/>
      <c r="Q20" s="171"/>
      <c r="R20" s="184"/>
      <c r="S20" s="171"/>
      <c r="T20" s="171"/>
      <c r="U20" s="3"/>
      <c r="V20" s="3"/>
      <c r="W20" s="3"/>
    </row>
    <row r="21" spans="1:23" ht="15.75" x14ac:dyDescent="0.25">
      <c r="A21" s="190"/>
      <c r="B21" s="172"/>
      <c r="C21" s="172"/>
      <c r="D21" s="172"/>
      <c r="E21" s="168"/>
      <c r="F21" s="168"/>
      <c r="G21" s="168"/>
      <c r="H21" s="168"/>
      <c r="I21" s="168"/>
      <c r="J21" s="177"/>
      <c r="K21" s="352"/>
      <c r="L21" s="352"/>
      <c r="M21" s="352"/>
      <c r="N21" s="352"/>
      <c r="O21" s="352"/>
      <c r="P21" s="173"/>
      <c r="Q21" s="173"/>
      <c r="R21" s="173"/>
      <c r="S21" s="173"/>
      <c r="T21" s="173"/>
      <c r="U21" s="3"/>
      <c r="V21" s="3"/>
      <c r="W21" s="3"/>
    </row>
    <row r="22" spans="1:23" ht="15.75" x14ac:dyDescent="0.25">
      <c r="A22" s="190"/>
      <c r="B22" s="175" t="s">
        <v>11</v>
      </c>
      <c r="C22" s="175"/>
      <c r="D22" s="175"/>
      <c r="E22" s="176">
        <f>E16-E19</f>
        <v>749</v>
      </c>
      <c r="F22" s="176">
        <f t="shared" ref="F22:I22" si="7">F16-F19</f>
        <v>912</v>
      </c>
      <c r="G22" s="176">
        <f t="shared" si="7"/>
        <v>998</v>
      </c>
      <c r="H22" s="176">
        <f t="shared" si="7"/>
        <v>1152</v>
      </c>
      <c r="I22" s="176">
        <f t="shared" si="7"/>
        <v>1088</v>
      </c>
      <c r="J22" s="178"/>
      <c r="K22" s="348">
        <f>K16-K19</f>
        <v>1251.1154400000005</v>
      </c>
      <c r="L22" s="348">
        <f t="shared" ref="L22:O22" si="8">L16-L19</f>
        <v>1308.6815084999996</v>
      </c>
      <c r="M22" s="348">
        <f t="shared" si="8"/>
        <v>1363.2957867750008</v>
      </c>
      <c r="N22" s="348">
        <f t="shared" si="8"/>
        <v>1414.3028434890473</v>
      </c>
      <c r="O22" s="348">
        <f t="shared" si="8"/>
        <v>1461.0803823125054</v>
      </c>
      <c r="P22" s="181"/>
      <c r="Q22" s="181"/>
      <c r="R22" s="326"/>
      <c r="S22" s="181"/>
      <c r="T22" s="181"/>
      <c r="U22" s="3"/>
      <c r="V22" s="3"/>
      <c r="W22" s="3"/>
    </row>
    <row r="23" spans="1:23" ht="15.75" x14ac:dyDescent="0.25">
      <c r="A23" s="190"/>
      <c r="B23" s="169" t="s">
        <v>9</v>
      </c>
      <c r="C23" s="169"/>
      <c r="D23" s="169"/>
      <c r="E23" s="174">
        <f>E22/E10</f>
        <v>7.3474592897783006E-2</v>
      </c>
      <c r="F23" s="174">
        <f t="shared" ref="F23:I23" si="9">F22/F10</f>
        <v>8.2206598161168196E-2</v>
      </c>
      <c r="G23" s="174">
        <f t="shared" si="9"/>
        <v>8.1158006017727907E-2</v>
      </c>
      <c r="H23" s="174">
        <f t="shared" si="9"/>
        <v>8.3861105044769596E-2</v>
      </c>
      <c r="I23" s="174">
        <f t="shared" si="9"/>
        <v>7.557654904140039E-2</v>
      </c>
      <c r="J23" s="177"/>
      <c r="K23" s="353">
        <f>K22/K10</f>
        <v>8.3000000000000032E-2</v>
      </c>
      <c r="L23" s="353">
        <f t="shared" ref="L23:O23" si="10">L22/L10</f>
        <v>8.3249999999999963E-2</v>
      </c>
      <c r="M23" s="353">
        <f t="shared" si="10"/>
        <v>8.3500000000000046E-2</v>
      </c>
      <c r="N23" s="353">
        <f t="shared" si="10"/>
        <v>8.3750000000000033E-2</v>
      </c>
      <c r="O23" s="353">
        <f t="shared" si="10"/>
        <v>8.3999999999999991E-2</v>
      </c>
      <c r="P23" s="171"/>
      <c r="Q23" s="171"/>
      <c r="R23" s="325"/>
      <c r="S23" s="171"/>
      <c r="T23" s="171"/>
      <c r="U23" s="3"/>
      <c r="V23" s="3"/>
      <c r="W23" s="3"/>
    </row>
    <row r="24" spans="1:23" ht="15.75" x14ac:dyDescent="0.25">
      <c r="A24" s="190"/>
      <c r="B24" s="172"/>
      <c r="C24" s="172"/>
      <c r="D24" s="172"/>
      <c r="E24" s="168"/>
      <c r="F24" s="168"/>
      <c r="G24" s="168"/>
      <c r="H24" s="168"/>
      <c r="I24" s="168"/>
      <c r="J24" s="177"/>
      <c r="K24" s="352"/>
      <c r="L24" s="352"/>
      <c r="M24" s="352"/>
      <c r="N24" s="352"/>
      <c r="O24" s="352"/>
      <c r="P24" s="173"/>
      <c r="Q24" s="173"/>
      <c r="R24" s="172"/>
      <c r="S24" s="173"/>
      <c r="T24" s="173"/>
      <c r="U24" s="3"/>
      <c r="V24" s="3"/>
      <c r="W24" s="3"/>
    </row>
    <row r="25" spans="1:23" ht="15.75" x14ac:dyDescent="0.25">
      <c r="A25" s="190"/>
      <c r="B25" s="179" t="s">
        <v>12</v>
      </c>
      <c r="C25" s="179"/>
      <c r="D25" s="179"/>
      <c r="E25" s="210">
        <f>'Income Statement'!C33-('Balance Sheet'!D72-'Balance Sheet'!C72)</f>
        <v>14</v>
      </c>
      <c r="F25" s="210">
        <f>'Income Statement'!D33-('Balance Sheet'!E72-'Balance Sheet'!D72)</f>
        <v>146</v>
      </c>
      <c r="G25" s="210">
        <f>'Income Statement'!E33-('Balance Sheet'!F72-'Balance Sheet'!E72)</f>
        <v>147</v>
      </c>
      <c r="H25" s="210">
        <f>'Income Statement'!F33-('Balance Sheet'!G72-'Balance Sheet'!F72)</f>
        <v>407</v>
      </c>
      <c r="I25" s="210">
        <f>'Income Statement'!G33-('Balance Sheet'!H72-'Balance Sheet'!G72)</f>
        <v>233</v>
      </c>
      <c r="J25" s="180"/>
      <c r="K25" s="349">
        <f>'Income Statement'!I24-('Balance Sheet'!I72-'Balance Sheet'!G72)</f>
        <v>157.92467048304678</v>
      </c>
      <c r="L25" s="349">
        <f>'Income Statement'!J24-('Balance Sheet'!J72-'Balance Sheet'!I72)</f>
        <v>181.98195143197736</v>
      </c>
      <c r="M25" s="349">
        <f>'Income Statement'!K24-('Balance Sheet'!K72-'Balance Sheet'!J72)</f>
        <v>188.17993075361227</v>
      </c>
      <c r="N25" s="349">
        <f>'Income Statement'!L24-('Balance Sheet'!L72-'Balance Sheet'!K72)</f>
        <v>194.05745216187177</v>
      </c>
      <c r="O25" s="349">
        <f>'Income Statement'!M24-('Balance Sheet'!M72-'Balance Sheet'!L72)</f>
        <v>199.57090260355383</v>
      </c>
      <c r="P25" s="180"/>
      <c r="Q25" s="180"/>
      <c r="R25" s="184"/>
      <c r="S25" s="180"/>
      <c r="T25" s="180"/>
      <c r="U25" s="3"/>
      <c r="V25" s="3"/>
      <c r="W25" s="3"/>
    </row>
    <row r="26" spans="1:23" ht="15.75" x14ac:dyDescent="0.25">
      <c r="A26" s="190"/>
      <c r="B26" s="172"/>
      <c r="C26" s="172"/>
      <c r="D26" s="172"/>
      <c r="E26" s="168"/>
      <c r="F26" s="168"/>
      <c r="G26" s="168"/>
      <c r="H26" s="168"/>
      <c r="I26" s="168"/>
      <c r="J26" s="177"/>
      <c r="K26" s="354"/>
      <c r="L26" s="354"/>
      <c r="M26" s="354"/>
      <c r="N26" s="354"/>
      <c r="O26" s="354"/>
      <c r="P26" s="168"/>
      <c r="Q26" s="168"/>
      <c r="R26" s="184"/>
      <c r="S26" s="168"/>
      <c r="T26" s="168"/>
      <c r="U26" s="3"/>
      <c r="V26" s="3"/>
      <c r="W26" s="3"/>
    </row>
    <row r="27" spans="1:23" ht="15.75" x14ac:dyDescent="0.25">
      <c r="A27" s="190"/>
      <c r="B27" s="175" t="s">
        <v>13</v>
      </c>
      <c r="C27" s="175"/>
      <c r="D27" s="175"/>
      <c r="E27" s="356">
        <v>257</v>
      </c>
      <c r="F27" s="356">
        <v>234</v>
      </c>
      <c r="G27" s="356">
        <v>282</v>
      </c>
      <c r="H27" s="356">
        <v>325</v>
      </c>
      <c r="I27" s="356">
        <v>333</v>
      </c>
      <c r="J27" s="181"/>
      <c r="K27" s="348">
        <f>$K$10*K28</f>
        <v>348.67570436232285</v>
      </c>
      <c r="L27" s="348">
        <f t="shared" ref="L27:O27" si="11">$K$10*L28</f>
        <v>310.99150436232287</v>
      </c>
      <c r="M27" s="348">
        <f t="shared" si="11"/>
        <v>280.84414436232288</v>
      </c>
      <c r="N27" s="348">
        <f t="shared" si="11"/>
        <v>250.69678436232289</v>
      </c>
      <c r="O27" s="348">
        <f t="shared" si="11"/>
        <v>241.17888000000002</v>
      </c>
      <c r="P27" s="181"/>
      <c r="Q27" s="181"/>
      <c r="R27" s="181"/>
      <c r="S27" s="181"/>
      <c r="T27" s="181"/>
      <c r="U27" s="3"/>
      <c r="V27" s="3"/>
      <c r="W27" s="3"/>
    </row>
    <row r="28" spans="1:23" x14ac:dyDescent="0.25">
      <c r="A28" s="190"/>
      <c r="B28" s="169" t="s">
        <v>7</v>
      </c>
      <c r="C28" s="169"/>
      <c r="D28" s="169"/>
      <c r="E28" s="174">
        <f>E27/E10</f>
        <v>2.5210908377476946E-2</v>
      </c>
      <c r="F28" s="174">
        <f t="shared" ref="F28:I28" si="12">F27/F10</f>
        <v>2.1092482422931314E-2</v>
      </c>
      <c r="G28" s="174">
        <f t="shared" si="12"/>
        <v>2.2932422542083435E-2</v>
      </c>
      <c r="H28" s="174">
        <f t="shared" si="12"/>
        <v>2.365873189197059E-2</v>
      </c>
      <c r="I28" s="174">
        <f t="shared" si="12"/>
        <v>2.3131425395943317E-2</v>
      </c>
      <c r="J28" s="171"/>
      <c r="K28" s="353">
        <v>2.3131425395943317E-2</v>
      </c>
      <c r="L28" s="353">
        <f>K28-0.0025</f>
        <v>2.0631425395943318E-2</v>
      </c>
      <c r="M28" s="353">
        <f>L28-0.002</f>
        <v>1.863142539594332E-2</v>
      </c>
      <c r="N28" s="353">
        <f>M28-0.002</f>
        <v>1.6631425395943318E-2</v>
      </c>
      <c r="O28" s="353">
        <v>1.6E-2</v>
      </c>
      <c r="P28" s="171"/>
      <c r="Q28" s="171"/>
      <c r="R28" s="171"/>
      <c r="S28" s="171"/>
      <c r="T28" s="171"/>
      <c r="U28" s="3"/>
      <c r="V28" s="3"/>
      <c r="W28" s="3"/>
    </row>
    <row r="29" spans="1:23" ht="15.75" x14ac:dyDescent="0.25">
      <c r="A29" s="190"/>
      <c r="B29" s="172"/>
      <c r="C29" s="172"/>
      <c r="D29" s="172"/>
      <c r="E29" s="168"/>
      <c r="F29" s="168"/>
      <c r="G29" s="168"/>
      <c r="H29" s="168"/>
      <c r="I29" s="168"/>
      <c r="J29" s="177"/>
      <c r="K29" s="354"/>
      <c r="L29" s="354"/>
      <c r="M29" s="354"/>
      <c r="N29" s="354"/>
      <c r="O29" s="354"/>
      <c r="P29" s="168"/>
      <c r="Q29" s="168"/>
      <c r="R29" s="168"/>
      <c r="S29" s="168"/>
      <c r="T29" s="168"/>
      <c r="U29" s="3"/>
      <c r="V29" s="3"/>
      <c r="W29" s="3"/>
    </row>
    <row r="30" spans="1:23" ht="15.75" x14ac:dyDescent="0.25">
      <c r="A30" s="190"/>
      <c r="B30" s="175" t="s">
        <v>14</v>
      </c>
      <c r="C30" s="175"/>
      <c r="D30" s="175"/>
      <c r="E30" s="358">
        <v>73</v>
      </c>
      <c r="F30" s="358">
        <v>121</v>
      </c>
      <c r="G30" s="358">
        <v>183</v>
      </c>
      <c r="H30" s="358">
        <v>104</v>
      </c>
      <c r="I30" s="358">
        <v>129</v>
      </c>
      <c r="J30" s="180"/>
      <c r="K30" s="348">
        <f>$K$10*K31</f>
        <v>135.07257015837732</v>
      </c>
      <c r="L30" s="348">
        <f t="shared" ref="L30:O30" si="13">$K$10*L31</f>
        <v>172.75677015837735</v>
      </c>
      <c r="M30" s="348">
        <f t="shared" si="13"/>
        <v>210.44097015837735</v>
      </c>
      <c r="N30" s="348">
        <f t="shared" si="13"/>
        <v>225.51465015837732</v>
      </c>
      <c r="O30" s="348">
        <f t="shared" si="13"/>
        <v>241.17888000000002</v>
      </c>
      <c r="P30" s="180"/>
      <c r="Q30" s="180"/>
      <c r="R30" s="180"/>
      <c r="S30" s="180"/>
      <c r="T30" s="180"/>
      <c r="U30" s="3"/>
      <c r="V30" s="3"/>
      <c r="W30" s="3"/>
    </row>
    <row r="31" spans="1:23" x14ac:dyDescent="0.25">
      <c r="A31" s="190"/>
      <c r="B31" s="169" t="s">
        <v>7</v>
      </c>
      <c r="C31" s="169"/>
      <c r="D31" s="169"/>
      <c r="E31" s="174">
        <f>E30/E10</f>
        <v>7.1610751422405338E-3</v>
      </c>
      <c r="F31" s="174">
        <f t="shared" ref="F31:I31" si="14">F30/F10</f>
        <v>1.09067964665585E-2</v>
      </c>
      <c r="G31" s="174">
        <f t="shared" si="14"/>
        <v>1.4881678458160527E-2</v>
      </c>
      <c r="H31" s="174">
        <f t="shared" si="14"/>
        <v>7.5707942054305888E-3</v>
      </c>
      <c r="I31" s="174">
        <f t="shared" si="14"/>
        <v>8.9608224506807447E-3</v>
      </c>
      <c r="J31" s="171"/>
      <c r="K31" s="353">
        <v>8.9608224506807447E-3</v>
      </c>
      <c r="L31" s="353">
        <f>K31+0.0025</f>
        <v>1.1460822450680745E-2</v>
      </c>
      <c r="M31" s="353">
        <f>L31+0.0025</f>
        <v>1.3960822450680746E-2</v>
      </c>
      <c r="N31" s="353">
        <f>M31+0.001</f>
        <v>1.4960822450680745E-2</v>
      </c>
      <c r="O31" s="353">
        <v>1.6E-2</v>
      </c>
      <c r="P31" s="171"/>
      <c r="Q31" s="171"/>
      <c r="R31" s="171"/>
      <c r="S31" s="171"/>
      <c r="T31" s="171"/>
      <c r="U31" s="3"/>
      <c r="V31" s="3"/>
      <c r="W31" s="3"/>
    </row>
    <row r="32" spans="1:23" ht="15.75" x14ac:dyDescent="0.25">
      <c r="A32" s="190"/>
      <c r="B32" s="172"/>
      <c r="C32" s="172"/>
      <c r="D32" s="172"/>
      <c r="E32" s="168"/>
      <c r="F32" s="168"/>
      <c r="G32" s="168"/>
      <c r="H32" s="168"/>
      <c r="I32" s="168"/>
      <c r="J32" s="177"/>
      <c r="K32" s="352"/>
      <c r="L32" s="352"/>
      <c r="M32" s="352"/>
      <c r="N32" s="352"/>
      <c r="O32" s="352"/>
      <c r="P32" s="173"/>
      <c r="Q32" s="173"/>
      <c r="R32" s="173"/>
      <c r="S32" s="173"/>
      <c r="T32" s="173"/>
      <c r="U32" s="3"/>
      <c r="V32" s="3"/>
      <c r="W32" s="3"/>
    </row>
    <row r="33" spans="1:23" ht="15.75" x14ac:dyDescent="0.25">
      <c r="A33" s="190"/>
      <c r="B33" s="175" t="s">
        <v>15</v>
      </c>
      <c r="C33" s="175"/>
      <c r="D33" s="175"/>
      <c r="E33" s="356">
        <v>525</v>
      </c>
      <c r="F33" s="356">
        <v>-128</v>
      </c>
      <c r="G33" s="356">
        <v>8</v>
      </c>
      <c r="H33" s="356">
        <v>146</v>
      </c>
      <c r="I33" s="356">
        <v>172</v>
      </c>
      <c r="J33" s="181"/>
      <c r="K33" s="348">
        <f>NWC!L19</f>
        <v>219.6011486859752</v>
      </c>
      <c r="L33" s="348">
        <f>NWC!M19</f>
        <v>231.89345681698978</v>
      </c>
      <c r="M33" s="348">
        <f>NWC!N19</f>
        <v>243.83663101829188</v>
      </c>
      <c r="N33" s="348">
        <f>NWC!O19</f>
        <v>255.29612855947607</v>
      </c>
      <c r="O33" s="348">
        <f>NWC!P19</f>
        <v>266.13933017245927</v>
      </c>
      <c r="P33" s="181"/>
      <c r="Q33" s="181"/>
      <c r="R33" s="181"/>
      <c r="S33" s="181"/>
      <c r="T33" s="181"/>
      <c r="U33" s="3"/>
      <c r="V33" s="3"/>
      <c r="W33" s="3"/>
    </row>
    <row r="34" spans="1:23" ht="15.75" x14ac:dyDescent="0.25">
      <c r="A34" s="190"/>
      <c r="B34" s="182" t="s">
        <v>7</v>
      </c>
      <c r="C34" s="182"/>
      <c r="D34" s="182"/>
      <c r="E34" s="171">
        <f>NWC!F20</f>
        <v>5.150088287227781E-2</v>
      </c>
      <c r="F34" s="171">
        <f>NWC!G20</f>
        <v>-1.1537768162970976E-2</v>
      </c>
      <c r="G34" s="171">
        <f>NWC!H20</f>
        <v>6.5056517849882084E-4</v>
      </c>
      <c r="H34" s="171">
        <f>NWC!I20</f>
        <v>1.062823032685448E-2</v>
      </c>
      <c r="I34" s="171">
        <f>NWC!J20</f>
        <v>1.1947763267574326E-2</v>
      </c>
      <c r="J34" s="171"/>
      <c r="K34" s="355">
        <f>K33/K10</f>
        <v>1.4568516028333837E-2</v>
      </c>
      <c r="L34" s="355">
        <f t="shared" ref="L34:O34" si="15">L33/L10</f>
        <v>1.4751587880340557E-2</v>
      </c>
      <c r="M34" s="355">
        <f t="shared" si="15"/>
        <v>1.4934659732347335E-2</v>
      </c>
      <c r="N34" s="355">
        <f t="shared" si="15"/>
        <v>1.5117731584354061E-2</v>
      </c>
      <c r="O34" s="355">
        <f t="shared" si="15"/>
        <v>1.5300803436360829E-2</v>
      </c>
      <c r="P34" s="171"/>
      <c r="Q34" s="171"/>
      <c r="R34" s="171"/>
      <c r="S34" s="171"/>
      <c r="T34" s="171"/>
      <c r="U34" s="3"/>
      <c r="V34" s="3"/>
      <c r="W34" s="3"/>
    </row>
    <row r="35" spans="1:23" ht="15.75" x14ac:dyDescent="0.25">
      <c r="A35" s="190" t="s">
        <v>3</v>
      </c>
      <c r="B35" s="215" t="s">
        <v>16</v>
      </c>
      <c r="C35" s="215"/>
      <c r="D35" s="215"/>
      <c r="E35" s="211"/>
      <c r="F35" s="213">
        <f>F33-E33</f>
        <v>-653</v>
      </c>
      <c r="G35" s="213">
        <f t="shared" ref="G35:I35" si="16">G33-F33</f>
        <v>136</v>
      </c>
      <c r="H35" s="213">
        <f t="shared" si="16"/>
        <v>138</v>
      </c>
      <c r="I35" s="213">
        <f t="shared" si="16"/>
        <v>26</v>
      </c>
      <c r="J35" s="183"/>
      <c r="K35" s="350">
        <f>K33-I33</f>
        <v>47.601148685975204</v>
      </c>
      <c r="L35" s="350">
        <f>L33-K33</f>
        <v>12.292308131014579</v>
      </c>
      <c r="M35" s="350">
        <f t="shared" ref="M35:O35" si="17">M33-L33</f>
        <v>11.943174201302099</v>
      </c>
      <c r="N35" s="350">
        <f t="shared" si="17"/>
        <v>11.459497541184192</v>
      </c>
      <c r="O35" s="350">
        <f t="shared" si="17"/>
        <v>10.843201612983194</v>
      </c>
      <c r="P35" s="183"/>
      <c r="Q35" s="183"/>
      <c r="R35" s="183"/>
      <c r="S35" s="183"/>
      <c r="T35" s="183"/>
      <c r="U35" s="3"/>
      <c r="V35" s="3"/>
      <c r="W35" s="3"/>
    </row>
    <row r="36" spans="1:23" ht="15.75" x14ac:dyDescent="0.25">
      <c r="A36" s="190"/>
      <c r="B36" s="214"/>
      <c r="C36" s="214"/>
      <c r="D36" s="214"/>
      <c r="E36" s="205"/>
      <c r="F36" s="205"/>
      <c r="G36" s="205"/>
      <c r="H36" s="205"/>
      <c r="I36" s="205"/>
      <c r="J36" s="177"/>
      <c r="K36" s="205"/>
      <c r="L36" s="205"/>
      <c r="M36" s="205"/>
      <c r="N36" s="205"/>
      <c r="O36" s="205"/>
      <c r="P36" s="205"/>
      <c r="Q36" s="205"/>
      <c r="R36" s="205"/>
      <c r="S36" s="205"/>
      <c r="T36" s="205"/>
      <c r="U36" s="3"/>
      <c r="V36" s="3"/>
      <c r="W36" s="3"/>
    </row>
    <row r="37" spans="1:23" x14ac:dyDescent="0.25">
      <c r="A37" s="190"/>
      <c r="B37" s="3"/>
      <c r="C37" s="3"/>
      <c r="D37" s="3"/>
      <c r="E37" s="3"/>
      <c r="F37" s="3"/>
      <c r="G37" s="3"/>
      <c r="H37" s="3"/>
      <c r="I37" s="3"/>
      <c r="J37" s="3"/>
      <c r="K37" s="3"/>
      <c r="L37" s="3"/>
      <c r="M37" s="3"/>
      <c r="N37" s="3"/>
      <c r="O37" s="3"/>
      <c r="P37" s="3"/>
      <c r="Q37" s="3"/>
      <c r="R37" s="3"/>
      <c r="S37" s="3"/>
      <c r="T37" s="3"/>
      <c r="U37" s="3"/>
      <c r="V37" s="3"/>
      <c r="W37" s="3"/>
    </row>
    <row r="38" spans="1:23" ht="15.75" x14ac:dyDescent="0.25">
      <c r="A38" s="190"/>
      <c r="B38" s="135" t="s">
        <v>17</v>
      </c>
      <c r="C38" s="135"/>
      <c r="D38" s="135"/>
      <c r="E38" s="210"/>
      <c r="F38" s="210">
        <f>F22-F25+F27-F30-F35</f>
        <v>1532</v>
      </c>
      <c r="G38" s="210">
        <f>G22-G25+G27-G30-G35</f>
        <v>814</v>
      </c>
      <c r="H38" s="210">
        <f>H22-H25+H27-H30-H35</f>
        <v>828</v>
      </c>
      <c r="I38" s="210">
        <f>I22-I25+I27-I30-I35</f>
        <v>1033</v>
      </c>
      <c r="J38" s="181"/>
      <c r="K38" s="210">
        <f>K22-K25+K27-K30-K35</f>
        <v>1259.1927550349239</v>
      </c>
      <c r="L38" s="210">
        <f t="shared" ref="L38:O38" si="18">L22-L25+L27-L30-L35</f>
        <v>1252.6419831409532</v>
      </c>
      <c r="M38" s="210">
        <f t="shared" si="18"/>
        <v>1233.575856024032</v>
      </c>
      <c r="N38" s="210">
        <f t="shared" si="18"/>
        <v>1233.9680279899371</v>
      </c>
      <c r="O38" s="210">
        <f t="shared" si="18"/>
        <v>1250.6662780959684</v>
      </c>
      <c r="P38" s="181"/>
      <c r="Q38" s="181"/>
      <c r="R38" s="181"/>
      <c r="S38" s="181"/>
      <c r="T38" s="181"/>
      <c r="U38" s="3"/>
      <c r="V38" s="3"/>
      <c r="W38" s="3"/>
    </row>
    <row r="39" spans="1:23" ht="15.75" x14ac:dyDescent="0.25">
      <c r="A39" s="190"/>
      <c r="B39" s="113"/>
      <c r="C39" s="113"/>
      <c r="D39" s="113"/>
      <c r="E39" s="168"/>
      <c r="F39" s="168"/>
      <c r="G39" s="168"/>
      <c r="H39" s="168"/>
      <c r="I39" s="168"/>
      <c r="K39" s="51"/>
      <c r="L39" s="51"/>
      <c r="M39" s="51"/>
      <c r="N39" s="51"/>
      <c r="O39" s="51"/>
      <c r="P39" s="51"/>
      <c r="Q39" s="51"/>
      <c r="R39" s="51"/>
      <c r="S39" s="51"/>
      <c r="T39" s="51"/>
      <c r="U39" s="3"/>
      <c r="V39" s="3"/>
      <c r="W39" s="3"/>
    </row>
    <row r="40" spans="1:23" ht="15.75" x14ac:dyDescent="0.25">
      <c r="A40" s="190"/>
      <c r="B40" s="113"/>
      <c r="C40" s="113"/>
      <c r="D40" s="113"/>
      <c r="E40" s="344" t="s">
        <v>18</v>
      </c>
      <c r="F40" s="359">
        <f>WACC!F21</f>
        <v>8.9143302011801581E-2</v>
      </c>
      <c r="G40" s="184"/>
      <c r="H40" s="168"/>
      <c r="I40" s="185" t="s">
        <v>19</v>
      </c>
      <c r="K40" s="477">
        <v>0.5</v>
      </c>
      <c r="L40" s="478">
        <v>1.5</v>
      </c>
      <c r="M40" s="478">
        <v>2.5</v>
      </c>
      <c r="N40" s="478">
        <v>3.5</v>
      </c>
      <c r="O40" s="479">
        <v>4.5</v>
      </c>
      <c r="P40" s="186"/>
      <c r="Q40" s="186"/>
      <c r="R40" s="186"/>
      <c r="S40" s="186"/>
      <c r="T40" s="186"/>
      <c r="U40" s="3"/>
      <c r="V40" s="3"/>
      <c r="W40" s="3"/>
    </row>
    <row r="41" spans="1:23" ht="15.75" x14ac:dyDescent="0.25">
      <c r="A41" s="190"/>
      <c r="B41" s="187"/>
      <c r="C41" s="187"/>
      <c r="D41" s="187"/>
      <c r="E41" s="188"/>
      <c r="F41" s="188"/>
      <c r="G41" s="188"/>
      <c r="H41" s="188"/>
      <c r="I41" s="185" t="s">
        <v>20</v>
      </c>
      <c r="K41" s="206">
        <f>1/(1+$F$40)^K40</f>
        <v>0.95820291451915474</v>
      </c>
      <c r="L41" s="207">
        <f t="shared" ref="L41:O41" si="19">1/(1+$F$40)^L40</f>
        <v>0.87977671326557183</v>
      </c>
      <c r="M41" s="207">
        <f t="shared" si="19"/>
        <v>0.80776947499975427</v>
      </c>
      <c r="N41" s="207">
        <f t="shared" si="19"/>
        <v>0.74165582573724687</v>
      </c>
      <c r="O41" s="208">
        <f t="shared" si="19"/>
        <v>0.68095339186983361</v>
      </c>
      <c r="P41" s="189"/>
      <c r="Q41" s="189"/>
      <c r="R41" s="189"/>
      <c r="S41" s="189"/>
      <c r="T41" s="189"/>
      <c r="U41" s="3"/>
      <c r="V41" s="3"/>
      <c r="W41" s="3"/>
    </row>
    <row r="42" spans="1:23" ht="15.75" x14ac:dyDescent="0.25">
      <c r="A42" s="190"/>
      <c r="B42" s="113"/>
      <c r="C42" s="113"/>
      <c r="D42" s="113"/>
      <c r="E42" s="168"/>
      <c r="F42" s="168"/>
      <c r="G42" s="168"/>
      <c r="H42" s="168"/>
      <c r="I42" s="168"/>
      <c r="K42" s="51"/>
      <c r="L42" s="51"/>
      <c r="M42" s="51"/>
      <c r="N42" s="51"/>
      <c r="O42" s="51"/>
      <c r="P42" s="51"/>
      <c r="Q42" s="51"/>
      <c r="R42" s="51"/>
      <c r="S42" s="51"/>
      <c r="T42" s="51"/>
      <c r="U42" s="3"/>
      <c r="V42" s="3"/>
      <c r="W42" s="3"/>
    </row>
    <row r="43" spans="1:23" ht="15.75" x14ac:dyDescent="0.25">
      <c r="A43" s="190"/>
      <c r="B43" s="61" t="s">
        <v>21</v>
      </c>
      <c r="C43" s="61"/>
      <c r="D43" s="61"/>
      <c r="E43" s="61"/>
      <c r="F43" s="61"/>
      <c r="G43" s="61"/>
      <c r="H43" s="61"/>
      <c r="I43" s="296" t="s">
        <v>22</v>
      </c>
      <c r="J43" s="190"/>
      <c r="K43" s="297">
        <f>K38*K41</f>
        <v>1206.5621678158682</v>
      </c>
      <c r="L43" s="210">
        <f t="shared" ref="L43:O43" si="20">L38*L41</f>
        <v>1102.0452468262156</v>
      </c>
      <c r="M43" s="210">
        <f t="shared" si="20"/>
        <v>996.44492159290473</v>
      </c>
      <c r="N43" s="210">
        <f t="shared" si="20"/>
        <v>915.17957673223896</v>
      </c>
      <c r="O43" s="298">
        <f t="shared" si="20"/>
        <v>851.64544416667025</v>
      </c>
      <c r="P43" s="181"/>
      <c r="Q43" s="181"/>
      <c r="R43" s="181"/>
      <c r="S43" s="181"/>
      <c r="T43" s="181"/>
      <c r="U43" s="3"/>
      <c r="V43" s="3"/>
      <c r="W43" s="3"/>
    </row>
    <row r="44" spans="1:23" x14ac:dyDescent="0.25">
      <c r="A44" s="190"/>
      <c r="B44" s="269"/>
      <c r="C44" s="269"/>
      <c r="D44" s="269"/>
      <c r="E44" s="269"/>
      <c r="F44" s="269"/>
      <c r="G44" s="269"/>
      <c r="H44" s="269"/>
      <c r="I44" s="269"/>
      <c r="J44" s="269"/>
      <c r="K44" s="269"/>
      <c r="L44" s="269"/>
      <c r="M44" s="269"/>
      <c r="N44" s="269"/>
      <c r="O44" s="269"/>
      <c r="P44" s="269"/>
      <c r="Q44" s="3"/>
      <c r="R44" s="3"/>
      <c r="S44" s="3"/>
      <c r="T44" s="3"/>
      <c r="U44" s="3"/>
      <c r="V44" s="3"/>
      <c r="W44" s="3"/>
    </row>
    <row r="45" spans="1:23" x14ac:dyDescent="0.25">
      <c r="A45" s="190"/>
      <c r="B45" s="3"/>
      <c r="C45" s="3"/>
      <c r="D45" s="3"/>
      <c r="E45" s="3"/>
      <c r="F45" s="3"/>
      <c r="G45" s="3"/>
      <c r="H45" s="3"/>
      <c r="I45" s="3"/>
      <c r="J45" s="3"/>
      <c r="K45" s="3"/>
      <c r="L45" s="3"/>
      <c r="M45" s="3"/>
      <c r="N45" s="3"/>
      <c r="O45" s="3"/>
      <c r="P45" s="3"/>
      <c r="Q45" s="3"/>
      <c r="R45" s="3"/>
      <c r="S45" s="3"/>
      <c r="T45" s="3"/>
      <c r="U45" s="3"/>
      <c r="V45" s="3"/>
      <c r="W45" s="3"/>
    </row>
    <row r="46" spans="1:23" ht="25.5" x14ac:dyDescent="0.35">
      <c r="A46" s="190" t="s">
        <v>3</v>
      </c>
      <c r="B46" s="295" t="s">
        <v>23</v>
      </c>
      <c r="C46" s="294"/>
      <c r="D46" s="294"/>
      <c r="E46" s="294"/>
      <c r="F46" s="294"/>
      <c r="G46" s="294"/>
      <c r="H46" s="294"/>
      <c r="I46" s="294"/>
      <c r="J46" s="294"/>
      <c r="K46" s="294"/>
      <c r="L46" s="294"/>
      <c r="M46" s="294"/>
      <c r="N46" s="294"/>
      <c r="O46" s="294"/>
      <c r="P46" s="294"/>
      <c r="Q46" s="3"/>
      <c r="R46" s="3"/>
      <c r="S46" s="3"/>
      <c r="T46" s="3"/>
      <c r="U46" s="3"/>
      <c r="V46" s="3"/>
      <c r="W46" s="3"/>
    </row>
    <row r="47" spans="1:23" x14ac:dyDescent="0.25">
      <c r="A47" s="190"/>
      <c r="B47" s="3"/>
      <c r="C47" s="3"/>
      <c r="D47" s="3"/>
      <c r="E47" s="3"/>
      <c r="F47" s="3"/>
      <c r="G47" s="3"/>
      <c r="H47" s="3"/>
      <c r="I47" s="3"/>
      <c r="J47" s="3"/>
      <c r="K47" s="3"/>
      <c r="L47" s="3"/>
      <c r="M47" s="3"/>
      <c r="N47" s="3"/>
      <c r="O47" s="3"/>
      <c r="P47" s="3"/>
      <c r="Q47" s="3"/>
      <c r="R47" s="3"/>
      <c r="S47" s="3"/>
      <c r="T47" s="3"/>
      <c r="U47" s="3"/>
      <c r="V47" s="3"/>
      <c r="W47" s="3"/>
    </row>
    <row r="48" spans="1:23" ht="21" thickBot="1" x14ac:dyDescent="0.3">
      <c r="A48" s="190"/>
      <c r="B48" s="267" t="s">
        <v>24</v>
      </c>
      <c r="C48" s="267"/>
      <c r="D48" s="267"/>
      <c r="E48" s="267"/>
      <c r="F48" s="262"/>
      <c r="G48" s="267" t="s">
        <v>25</v>
      </c>
      <c r="H48" s="267"/>
      <c r="I48" s="267"/>
      <c r="J48" s="267"/>
      <c r="K48" s="267"/>
      <c r="L48" s="262"/>
      <c r="M48" s="267" t="s">
        <v>26</v>
      </c>
      <c r="N48" s="267"/>
      <c r="O48" s="267"/>
      <c r="P48" s="267"/>
      <c r="Q48" s="273"/>
      <c r="R48" s="268"/>
      <c r="S48" s="268"/>
      <c r="T48" s="268"/>
      <c r="U48" s="268"/>
      <c r="V48" s="268"/>
      <c r="W48" s="227"/>
    </row>
    <row r="49" spans="1:23" ht="15" customHeight="1" thickTop="1" x14ac:dyDescent="0.25">
      <c r="A49" s="190"/>
      <c r="B49" s="194" t="s">
        <v>27</v>
      </c>
      <c r="C49" s="194"/>
      <c r="D49" s="194"/>
      <c r="E49" s="195"/>
      <c r="G49" s="191" t="s">
        <v>28</v>
      </c>
      <c r="H49" s="191"/>
      <c r="I49" s="191"/>
      <c r="K49" s="263">
        <f>E58</f>
        <v>19721.594565406132</v>
      </c>
      <c r="L49" s="3"/>
      <c r="M49" s="3" t="s">
        <v>29</v>
      </c>
      <c r="P49" s="49">
        <f>O38</f>
        <v>1250.6662780959684</v>
      </c>
      <c r="S49" s="3"/>
      <c r="T49" s="3"/>
      <c r="U49" s="3"/>
      <c r="V49" s="3"/>
      <c r="W49" s="228"/>
    </row>
    <row r="50" spans="1:23" ht="15" customHeight="1" x14ac:dyDescent="0.25">
      <c r="A50" s="190"/>
      <c r="B50" s="3" t="s">
        <v>30</v>
      </c>
      <c r="C50" s="3"/>
      <c r="D50" s="3"/>
      <c r="E50" s="192">
        <f>O22+O27</f>
        <v>1702.2592623125054</v>
      </c>
      <c r="F50" s="3"/>
      <c r="G50" s="3" t="s">
        <v>31</v>
      </c>
      <c r="H50" s="3"/>
      <c r="I50" s="3"/>
      <c r="K50" s="193">
        <f>WACC!F7+WACC!F8</f>
        <v>4919</v>
      </c>
      <c r="L50" s="3"/>
      <c r="M50" s="3" t="s">
        <v>32</v>
      </c>
      <c r="P50" s="418">
        <f>F40</f>
        <v>8.9143302011801581E-2</v>
      </c>
      <c r="S50" s="3"/>
      <c r="T50" s="3"/>
      <c r="U50" s="3"/>
      <c r="V50" s="3"/>
      <c r="W50" s="228"/>
    </row>
    <row r="51" spans="1:23" ht="15" customHeight="1" x14ac:dyDescent="0.25">
      <c r="A51" s="190"/>
      <c r="B51" s="82" t="s">
        <v>33</v>
      </c>
      <c r="C51" s="82"/>
      <c r="D51" s="82"/>
      <c r="E51" s="413">
        <f>'Comparable Companies'!AG39</f>
        <v>12.638226892642443</v>
      </c>
      <c r="F51" s="3"/>
      <c r="G51" s="3" t="s">
        <v>34</v>
      </c>
      <c r="H51" s="3"/>
      <c r="I51" s="3"/>
      <c r="K51" s="414">
        <v>0</v>
      </c>
      <c r="L51" s="3"/>
      <c r="M51" s="3" t="s">
        <v>27</v>
      </c>
      <c r="P51" s="49">
        <f>E52</f>
        <v>21513.538787207592</v>
      </c>
      <c r="S51" s="3"/>
      <c r="T51" s="3"/>
      <c r="U51" s="3"/>
      <c r="V51" s="3"/>
      <c r="W51" s="228"/>
    </row>
    <row r="52" spans="1:23" ht="15" customHeight="1" x14ac:dyDescent="0.25">
      <c r="A52" s="190"/>
      <c r="B52" s="191" t="s">
        <v>27</v>
      </c>
      <c r="D52" s="3"/>
      <c r="E52" s="49">
        <f>E51*E50</f>
        <v>21513.538787207592</v>
      </c>
      <c r="F52" s="3"/>
      <c r="G52" s="3" t="s">
        <v>35</v>
      </c>
      <c r="H52" s="3"/>
      <c r="I52" s="3"/>
      <c r="K52" s="415">
        <f>'Balance Sheet'!M88</f>
        <v>54</v>
      </c>
      <c r="L52" s="3"/>
      <c r="M52" s="270"/>
      <c r="N52" s="270"/>
      <c r="O52" s="270"/>
      <c r="P52" s="270"/>
      <c r="S52" s="3"/>
      <c r="T52" s="3"/>
      <c r="U52" s="3"/>
      <c r="V52" s="3"/>
      <c r="W52" s="3"/>
    </row>
    <row r="53" spans="1:23" ht="15" customHeight="1" x14ac:dyDescent="0.25">
      <c r="A53" s="190"/>
      <c r="B53" s="82" t="s">
        <v>36</v>
      </c>
      <c r="C53" s="82"/>
      <c r="D53" s="82"/>
      <c r="E53" s="233">
        <f>O41</f>
        <v>0.68095339186983361</v>
      </c>
      <c r="F53" s="3"/>
      <c r="G53" s="82" t="s">
        <v>37</v>
      </c>
      <c r="H53" s="82"/>
      <c r="I53" s="82"/>
      <c r="J53" s="209"/>
      <c r="K53" s="416">
        <f>'Balance Sheet'!G7</f>
        <v>516</v>
      </c>
      <c r="L53" s="3"/>
      <c r="M53" s="191" t="s">
        <v>26</v>
      </c>
      <c r="P53" s="272">
        <f>((P51*P50)-P49*(1+P50)^0.5)/(P51+P49*(1+P50)^0.5)</f>
        <v>2.684489428890573E-2</v>
      </c>
      <c r="S53" s="3"/>
      <c r="T53" s="3"/>
      <c r="U53" s="3"/>
      <c r="V53" s="3"/>
      <c r="W53" s="229"/>
    </row>
    <row r="54" spans="1:23" ht="15" customHeight="1" x14ac:dyDescent="0.25">
      <c r="A54" s="190"/>
      <c r="B54" s="275" t="s">
        <v>38</v>
      </c>
      <c r="C54" s="276"/>
      <c r="D54" s="277"/>
      <c r="E54" s="278">
        <f>E53*E52</f>
        <v>14649.717208272235</v>
      </c>
      <c r="F54" s="277"/>
      <c r="G54" s="275" t="s">
        <v>39</v>
      </c>
      <c r="H54" s="277"/>
      <c r="I54" s="277"/>
      <c r="J54" s="276"/>
      <c r="K54" s="279">
        <f>K49-K50-K51-K52+K53</f>
        <v>15264.594565406132</v>
      </c>
      <c r="L54" s="3"/>
      <c r="S54" s="3"/>
      <c r="T54" s="3"/>
      <c r="U54" s="3"/>
      <c r="V54" s="3"/>
      <c r="W54" s="3"/>
    </row>
    <row r="55" spans="1:23" ht="21" customHeight="1" thickBot="1" x14ac:dyDescent="0.3">
      <c r="A55" s="190"/>
      <c r="B55" s="282" t="s">
        <v>40</v>
      </c>
      <c r="C55" s="283"/>
      <c r="D55" s="284"/>
      <c r="E55" s="285">
        <f>E54/E58</f>
        <v>0.74282620300741131</v>
      </c>
      <c r="F55" s="3"/>
      <c r="G55" s="3"/>
      <c r="H55" s="3"/>
      <c r="I55" s="3"/>
      <c r="K55" s="49"/>
      <c r="L55" s="3"/>
      <c r="M55" s="267" t="s">
        <v>41</v>
      </c>
      <c r="N55" s="267"/>
      <c r="O55" s="267"/>
      <c r="P55" s="267"/>
      <c r="S55" s="227"/>
      <c r="T55" s="227"/>
      <c r="U55" s="227"/>
      <c r="V55" s="227"/>
      <c r="W55" s="227"/>
    </row>
    <row r="56" spans="1:23" ht="15" customHeight="1" thickTop="1" x14ac:dyDescent="0.25">
      <c r="A56" s="190"/>
      <c r="F56" s="3"/>
      <c r="G56" s="3" t="s">
        <v>42</v>
      </c>
      <c r="H56" s="3"/>
      <c r="I56" s="196"/>
      <c r="K56" s="417">
        <v>137.51</v>
      </c>
      <c r="L56" s="3"/>
      <c r="M56" s="3" t="s">
        <v>28</v>
      </c>
      <c r="P56" s="49">
        <f>E58</f>
        <v>19721.594565406132</v>
      </c>
      <c r="S56" s="3"/>
      <c r="T56" s="3"/>
      <c r="U56" s="3"/>
      <c r="V56" s="3"/>
      <c r="W56" s="230"/>
    </row>
    <row r="57" spans="1:23" ht="15" customHeight="1" x14ac:dyDescent="0.25">
      <c r="A57" s="190"/>
      <c r="B57" s="82" t="s">
        <v>43</v>
      </c>
      <c r="C57" s="83"/>
      <c r="D57" s="83"/>
      <c r="E57" s="260">
        <f>SUM(K43:O43)</f>
        <v>5071.8773571338979</v>
      </c>
      <c r="G57" s="82" t="s">
        <v>44</v>
      </c>
      <c r="H57" s="82"/>
      <c r="I57" s="209"/>
      <c r="J57" s="280" t="e" vm="1">
        <v>#VALUE!</v>
      </c>
      <c r="K57" s="363">
        <v>108</v>
      </c>
      <c r="M57" s="3" t="s">
        <v>45</v>
      </c>
      <c r="P57" s="230">
        <f>I22+I27</f>
        <v>1421</v>
      </c>
      <c r="S57" s="3"/>
      <c r="T57" s="3"/>
      <c r="U57" s="3"/>
      <c r="V57" s="3"/>
      <c r="W57" s="230"/>
    </row>
    <row r="58" spans="1:23" ht="15" customHeight="1" x14ac:dyDescent="0.25">
      <c r="A58" s="190"/>
      <c r="B58" s="191" t="s">
        <v>28</v>
      </c>
      <c r="C58" s="191"/>
      <c r="D58" s="191"/>
      <c r="E58" s="261">
        <f>E54+E57</f>
        <v>19721.594565406132</v>
      </c>
      <c r="F58" s="3"/>
      <c r="G58" s="191" t="s">
        <v>46</v>
      </c>
      <c r="H58" s="3"/>
      <c r="I58" s="3"/>
      <c r="K58" s="286">
        <f>K54/K56</f>
        <v>111.00715995495698</v>
      </c>
      <c r="L58" s="274"/>
      <c r="M58" s="269"/>
      <c r="N58" s="270"/>
      <c r="O58" s="270"/>
      <c r="P58" s="271"/>
      <c r="S58" s="3"/>
      <c r="T58" s="3"/>
      <c r="U58" s="3"/>
      <c r="V58" s="3"/>
      <c r="W58" s="3"/>
    </row>
    <row r="59" spans="1:23" ht="15" customHeight="1" x14ac:dyDescent="0.25">
      <c r="A59" s="190"/>
      <c r="F59" s="3"/>
      <c r="G59" s="64" t="s">
        <v>47</v>
      </c>
      <c r="H59" s="70"/>
      <c r="I59" s="70"/>
      <c r="K59" s="264">
        <f>K58/K57-1</f>
        <v>2.7844073657009139E-2</v>
      </c>
      <c r="L59" s="3"/>
      <c r="M59" s="191" t="s">
        <v>41</v>
      </c>
      <c r="P59" s="293">
        <f>P56/P57</f>
        <v>13.878673163551113</v>
      </c>
      <c r="S59" s="3"/>
      <c r="T59" s="3"/>
      <c r="U59" s="3"/>
      <c r="V59" s="3"/>
      <c r="W59" s="231"/>
    </row>
    <row r="60" spans="1:23" x14ac:dyDescent="0.25">
      <c r="A60" s="190" t="s">
        <v>3</v>
      </c>
      <c r="B60" s="270"/>
      <c r="C60" s="270"/>
      <c r="D60" s="270"/>
      <c r="E60" s="270"/>
      <c r="F60" s="269"/>
      <c r="G60" s="270"/>
      <c r="H60" s="269"/>
      <c r="I60" s="270"/>
      <c r="J60" s="270"/>
      <c r="K60" s="269"/>
      <c r="L60" s="270"/>
      <c r="M60" s="270"/>
      <c r="N60" s="270"/>
      <c r="O60" s="269"/>
      <c r="P60" s="269"/>
      <c r="S60" s="3"/>
      <c r="T60" s="3"/>
      <c r="U60" s="3"/>
      <c r="V60" s="3"/>
      <c r="W60" s="3"/>
    </row>
    <row r="61" spans="1:23" x14ac:dyDescent="0.25">
      <c r="A61" s="190"/>
      <c r="B61" s="3"/>
      <c r="C61" s="3"/>
      <c r="D61" s="3"/>
      <c r="E61" s="3"/>
      <c r="F61" s="3"/>
      <c r="G61" s="3"/>
      <c r="H61" s="3"/>
      <c r="I61" s="3"/>
      <c r="J61" s="3"/>
      <c r="Q61" s="3"/>
      <c r="R61" s="191"/>
      <c r="S61" s="3"/>
      <c r="T61" s="3"/>
      <c r="U61" s="3"/>
      <c r="V61" s="3"/>
      <c r="W61" s="226"/>
    </row>
    <row r="62" spans="1:23" ht="24.95" customHeight="1" x14ac:dyDescent="0.35">
      <c r="A62" s="190" t="s">
        <v>3</v>
      </c>
      <c r="B62" s="295" t="s">
        <v>48</v>
      </c>
      <c r="C62" s="294"/>
      <c r="D62" s="294"/>
      <c r="E62" s="294"/>
      <c r="F62" s="294"/>
      <c r="G62" s="294"/>
      <c r="H62" s="294"/>
      <c r="I62" s="294"/>
      <c r="J62" s="294"/>
      <c r="K62" s="294"/>
      <c r="L62" s="294"/>
      <c r="M62" s="294"/>
      <c r="N62" s="294"/>
      <c r="O62" s="294"/>
      <c r="P62" s="294"/>
      <c r="Q62" s="3"/>
      <c r="R62" s="3"/>
      <c r="S62" s="3"/>
      <c r="T62" s="3"/>
      <c r="U62" s="3"/>
      <c r="V62" s="3"/>
      <c r="W62" s="3"/>
    </row>
    <row r="63" spans="1:23" x14ac:dyDescent="0.25">
      <c r="A63" s="190"/>
    </row>
    <row r="64" spans="1:23" ht="21" thickBot="1" x14ac:dyDescent="0.3">
      <c r="A64" s="190"/>
      <c r="B64" s="267" t="s">
        <v>49</v>
      </c>
      <c r="C64" s="267"/>
      <c r="D64" s="267"/>
      <c r="E64" s="267"/>
      <c r="F64" s="262"/>
      <c r="G64" s="267" t="s">
        <v>25</v>
      </c>
      <c r="H64" s="267"/>
      <c r="I64" s="267"/>
      <c r="J64" s="267"/>
      <c r="K64" s="267"/>
      <c r="M64" s="267" t="s">
        <v>50</v>
      </c>
      <c r="N64" s="267"/>
      <c r="O64" s="267"/>
      <c r="P64" s="267"/>
    </row>
    <row r="65" spans="1:20" ht="15" customHeight="1" thickTop="1" x14ac:dyDescent="0.25">
      <c r="A65" s="190"/>
      <c r="G65" s="191" t="s">
        <v>28</v>
      </c>
      <c r="H65" s="191"/>
      <c r="I65" s="191"/>
      <c r="K65" s="263">
        <f>E76</f>
        <v>19903.562056047616</v>
      </c>
      <c r="M65" s="3" t="s">
        <v>27</v>
      </c>
      <c r="P65" s="49">
        <f>E76</f>
        <v>19903.562056047616</v>
      </c>
    </row>
    <row r="66" spans="1:20" ht="15" customHeight="1" x14ac:dyDescent="0.25">
      <c r="A66" s="190"/>
      <c r="B66" s="194" t="s">
        <v>27</v>
      </c>
      <c r="C66" s="194"/>
      <c r="D66" s="194"/>
      <c r="E66" s="195"/>
      <c r="F66" s="242"/>
      <c r="G66" s="3" t="s">
        <v>31</v>
      </c>
      <c r="H66" s="3"/>
      <c r="I66" s="3"/>
      <c r="K66" s="193">
        <f>WACC!F7+WACC!F8</f>
        <v>4919</v>
      </c>
      <c r="M66" s="3" t="s">
        <v>51</v>
      </c>
      <c r="P66" s="230">
        <f>O22+O27</f>
        <v>1702.2592623125054</v>
      </c>
    </row>
    <row r="67" spans="1:20" ht="15" customHeight="1" x14ac:dyDescent="0.25">
      <c r="A67" s="190"/>
      <c r="B67" s="23" t="s">
        <v>29</v>
      </c>
      <c r="C67" s="254"/>
      <c r="D67" s="239"/>
      <c r="E67" s="256">
        <f>O38</f>
        <v>1250.6662780959684</v>
      </c>
      <c r="F67" s="3"/>
      <c r="G67" s="3" t="s">
        <v>34</v>
      </c>
      <c r="H67" s="3"/>
      <c r="I67" s="3"/>
      <c r="K67" s="414">
        <v>0</v>
      </c>
      <c r="M67" s="3" t="s">
        <v>32</v>
      </c>
      <c r="P67" s="87">
        <f>F40</f>
        <v>8.9143302011801581E-2</v>
      </c>
    </row>
    <row r="68" spans="1:20" ht="15" customHeight="1" x14ac:dyDescent="0.25">
      <c r="A68" s="190"/>
      <c r="B68" s="23" t="s">
        <v>32</v>
      </c>
      <c r="C68" s="254"/>
      <c r="D68" s="239"/>
      <c r="E68" s="92">
        <f>F40</f>
        <v>8.9143302011801581E-2</v>
      </c>
      <c r="F68" s="239"/>
      <c r="G68" s="3" t="s">
        <v>35</v>
      </c>
      <c r="H68" s="3"/>
      <c r="I68" s="3"/>
      <c r="K68" s="415">
        <f>'Balance Sheet'!M88</f>
        <v>54</v>
      </c>
      <c r="M68" s="269"/>
      <c r="N68" s="270"/>
      <c r="O68" s="270"/>
      <c r="P68" s="271"/>
    </row>
    <row r="69" spans="1:20" ht="15" customHeight="1" x14ac:dyDescent="0.25">
      <c r="A69" s="190"/>
      <c r="B69" s="93" t="s">
        <v>52</v>
      </c>
      <c r="C69" s="265"/>
      <c r="D69" s="266"/>
      <c r="E69" s="419">
        <f>Assumptions!M12</f>
        <v>0.03</v>
      </c>
      <c r="F69" s="239"/>
      <c r="G69" s="82" t="s">
        <v>37</v>
      </c>
      <c r="H69" s="82"/>
      <c r="I69" s="82"/>
      <c r="J69" s="209"/>
      <c r="K69" s="416">
        <f>'Balance Sheet'!G7</f>
        <v>516</v>
      </c>
      <c r="M69" s="191" t="s">
        <v>50</v>
      </c>
      <c r="P69" s="281">
        <f>P65*(1+P67)^0.5/P66</f>
        <v>12.20246621154338</v>
      </c>
    </row>
    <row r="70" spans="1:20" ht="15" customHeight="1" x14ac:dyDescent="0.25">
      <c r="A70" s="190"/>
      <c r="B70" s="191" t="s">
        <v>27</v>
      </c>
      <c r="C70" s="254"/>
      <c r="D70" s="239"/>
      <c r="E70" s="256">
        <f>E67*(1+E69)/(E68-E69)</f>
        <v>21780.763376752282</v>
      </c>
      <c r="F70" s="255"/>
      <c r="G70" s="275" t="s">
        <v>39</v>
      </c>
      <c r="H70" s="277"/>
      <c r="I70" s="277"/>
      <c r="J70" s="276"/>
      <c r="K70" s="279">
        <f>K65-K66-K67-K68+K69</f>
        <v>15446.562056047616</v>
      </c>
    </row>
    <row r="71" spans="1:20" ht="21" customHeight="1" thickBot="1" x14ac:dyDescent="0.3">
      <c r="A71" s="190"/>
      <c r="B71" s="82" t="s">
        <v>36</v>
      </c>
      <c r="C71" s="82"/>
      <c r="D71" s="82"/>
      <c r="E71" s="233">
        <f>O41</f>
        <v>0.68095339186983361</v>
      </c>
      <c r="F71" s="239"/>
      <c r="G71" s="3"/>
      <c r="H71" s="3"/>
      <c r="I71" s="3"/>
      <c r="K71" s="49"/>
      <c r="M71" s="267" t="s">
        <v>41</v>
      </c>
      <c r="N71" s="267"/>
      <c r="O71" s="267"/>
      <c r="P71" s="267"/>
    </row>
    <row r="72" spans="1:20" ht="15" customHeight="1" thickTop="1" x14ac:dyDescent="0.25">
      <c r="A72" s="190"/>
      <c r="B72" s="191" t="s">
        <v>38</v>
      </c>
      <c r="D72" s="3"/>
      <c r="E72" s="257">
        <f>E71*E70</f>
        <v>14831.684698913718</v>
      </c>
      <c r="F72" s="239"/>
      <c r="G72" s="3" t="s">
        <v>42</v>
      </c>
      <c r="H72" s="3"/>
      <c r="I72" s="196"/>
      <c r="K72" s="417">
        <v>137.51</v>
      </c>
      <c r="M72" s="3" t="s">
        <v>28</v>
      </c>
      <c r="P72" s="49">
        <f>E76</f>
        <v>19903.562056047616</v>
      </c>
    </row>
    <row r="73" spans="1:20" ht="15" customHeight="1" x14ac:dyDescent="0.25">
      <c r="A73" s="190"/>
      <c r="B73" s="64" t="s">
        <v>40</v>
      </c>
      <c r="C73" s="258"/>
      <c r="D73" s="70"/>
      <c r="E73" s="259">
        <f>E72/E75</f>
        <v>2.9242987664226678</v>
      </c>
      <c r="F73" s="3"/>
      <c r="G73" s="82" t="s">
        <v>44</v>
      </c>
      <c r="H73" s="82"/>
      <c r="I73" s="209"/>
      <c r="J73" s="280" t="e" vm="1">
        <v>#VALUE!</v>
      </c>
      <c r="K73" s="363">
        <v>108</v>
      </c>
      <c r="M73" s="3" t="s">
        <v>45</v>
      </c>
      <c r="P73" s="230">
        <f>I22+I27</f>
        <v>1421</v>
      </c>
    </row>
    <row r="74" spans="1:20" ht="15" customHeight="1" x14ac:dyDescent="0.25">
      <c r="A74" s="190"/>
      <c r="G74" s="191" t="s">
        <v>46</v>
      </c>
      <c r="H74" s="3"/>
      <c r="I74" s="3"/>
      <c r="K74" s="286">
        <f>K70/K72</f>
        <v>112.33046364662655</v>
      </c>
      <c r="M74" s="269"/>
      <c r="N74" s="270"/>
      <c r="O74" s="270"/>
      <c r="P74" s="271"/>
    </row>
    <row r="75" spans="1:20" ht="15" customHeight="1" x14ac:dyDescent="0.25">
      <c r="A75" s="190"/>
      <c r="B75" s="82" t="s">
        <v>43</v>
      </c>
      <c r="C75" s="83"/>
      <c r="D75" s="83"/>
      <c r="E75" s="260">
        <f>SUM(K43:O43)</f>
        <v>5071.8773571338979</v>
      </c>
      <c r="G75" s="64" t="s">
        <v>47</v>
      </c>
      <c r="H75" s="70"/>
      <c r="I75" s="70"/>
      <c r="K75" s="264">
        <f>K74/K73-1</f>
        <v>4.0096885616912603E-2</v>
      </c>
      <c r="M75" s="191" t="s">
        <v>41</v>
      </c>
      <c r="P75" s="281">
        <f>P72/P73</f>
        <v>14.006729103481785</v>
      </c>
      <c r="T75" t="s">
        <v>276</v>
      </c>
    </row>
    <row r="76" spans="1:20" ht="15" customHeight="1" x14ac:dyDescent="0.25">
      <c r="A76" s="190"/>
      <c r="B76" s="191" t="s">
        <v>28</v>
      </c>
      <c r="C76" s="191"/>
      <c r="D76" s="191"/>
      <c r="E76" s="261">
        <f>E72+E75</f>
        <v>19903.562056047616</v>
      </c>
    </row>
    <row r="77" spans="1:20" ht="15" customHeight="1" x14ac:dyDescent="0.25">
      <c r="A77" s="190" t="s">
        <v>3</v>
      </c>
      <c r="B77" s="270"/>
      <c r="C77" s="270"/>
      <c r="D77" s="270"/>
      <c r="E77" s="270"/>
      <c r="F77" s="270"/>
      <c r="G77" s="270"/>
      <c r="H77" s="270"/>
      <c r="I77" s="270"/>
      <c r="J77" s="270"/>
      <c r="K77" s="270"/>
      <c r="L77" s="270"/>
      <c r="M77" s="270"/>
      <c r="N77" s="270"/>
      <c r="O77" s="270"/>
      <c r="P77" s="270"/>
    </row>
    <row r="83" spans="4:9" x14ac:dyDescent="0.25">
      <c r="D83" s="4"/>
      <c r="E83" s="327"/>
      <c r="F83" s="327"/>
      <c r="G83" s="327"/>
      <c r="H83" s="327"/>
      <c r="I83" s="327"/>
    </row>
    <row r="84" spans="4:9" x14ac:dyDescent="0.25">
      <c r="D84" s="328"/>
      <c r="E84" s="329"/>
      <c r="F84" s="329"/>
      <c r="G84" s="329"/>
      <c r="H84" s="329"/>
      <c r="I84" s="329"/>
    </row>
    <row r="85" spans="4:9" x14ac:dyDescent="0.25">
      <c r="D85" s="328"/>
      <c r="E85" s="329"/>
      <c r="F85" s="329"/>
      <c r="G85" s="329"/>
      <c r="H85" s="329"/>
      <c r="I85" s="329"/>
    </row>
    <row r="86" spans="4:9" x14ac:dyDescent="0.25">
      <c r="D86" s="330"/>
      <c r="E86" s="329"/>
      <c r="F86" s="329"/>
      <c r="G86" s="329"/>
      <c r="H86" s="329"/>
      <c r="I86" s="329"/>
    </row>
    <row r="87" spans="4:9" x14ac:dyDescent="0.25">
      <c r="D87" s="330"/>
      <c r="E87" s="329"/>
      <c r="F87" s="329"/>
      <c r="G87" s="329"/>
      <c r="H87" s="329"/>
      <c r="I87" s="329"/>
    </row>
    <row r="88" spans="4:9" x14ac:dyDescent="0.25">
      <c r="D88" s="330"/>
      <c r="E88" s="329"/>
      <c r="F88" s="329"/>
      <c r="G88" s="329"/>
      <c r="H88" s="329"/>
      <c r="I88" s="329"/>
    </row>
  </sheetData>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01234-7B38-BC4B-BF63-AA7825DB7C73}">
  <sheetPr>
    <pageSetUpPr fitToPage="1"/>
  </sheetPr>
  <dimension ref="B1:R34"/>
  <sheetViews>
    <sheetView showGridLines="0" zoomScale="90" zoomScaleNormal="90" workbookViewId="0"/>
  </sheetViews>
  <sheetFormatPr defaultColWidth="10.85546875" defaultRowHeight="15" x14ac:dyDescent="0.25"/>
  <cols>
    <col min="1" max="1" width="2.7109375" style="240" customWidth="1"/>
    <col min="2" max="2" width="10.85546875" style="240"/>
    <col min="3" max="3" width="12" style="240" bestFit="1" customWidth="1"/>
    <col min="4" max="7" width="11" style="240" bestFit="1" customWidth="1"/>
    <col min="8" max="8" width="10.85546875" style="240" customWidth="1"/>
    <col min="9" max="12" width="11" style="240" customWidth="1"/>
    <col min="13" max="17" width="11" style="240" bestFit="1" customWidth="1"/>
    <col min="18" max="16384" width="10.85546875" style="240"/>
  </cols>
  <sheetData>
    <row r="1" spans="2:18" s="232" customFormat="1" x14ac:dyDescent="0.25"/>
    <row r="2" spans="2:18" s="232" customFormat="1" ht="34.5" x14ac:dyDescent="0.45">
      <c r="B2" s="423" t="s">
        <v>53</v>
      </c>
      <c r="C2" s="201"/>
      <c r="D2" s="201"/>
      <c r="E2" s="201"/>
      <c r="F2" s="201"/>
    </row>
    <row r="3" spans="2:18" ht="27.95" customHeight="1" x14ac:dyDescent="0.25"/>
    <row r="4" spans="2:18" ht="20.25" x14ac:dyDescent="0.25">
      <c r="B4" s="200" t="s">
        <v>28</v>
      </c>
      <c r="C4" s="200"/>
      <c r="D4" s="200"/>
      <c r="E4" s="200"/>
      <c r="F4" s="200"/>
      <c r="G4" s="200"/>
      <c r="H4" s="200"/>
      <c r="I4" s="200"/>
      <c r="K4" s="200" t="s">
        <v>39</v>
      </c>
      <c r="L4" s="200"/>
      <c r="M4" s="200"/>
      <c r="N4" s="200"/>
      <c r="O4" s="200"/>
      <c r="P4" s="200"/>
      <c r="Q4" s="200"/>
      <c r="R4" s="200"/>
    </row>
    <row r="6" spans="2:18" ht="15.75" x14ac:dyDescent="0.25">
      <c r="C6" s="342">
        <f>'DCF Overview'!E51</f>
        <v>12.638226892642443</v>
      </c>
      <c r="D6" s="242" t="s">
        <v>33</v>
      </c>
      <c r="E6" s="243"/>
      <c r="F6" s="242"/>
      <c r="G6" s="243"/>
      <c r="H6" s="243"/>
      <c r="M6" s="246" t="s">
        <v>33</v>
      </c>
      <c r="N6" s="247"/>
      <c r="O6" s="246"/>
      <c r="P6" s="247"/>
      <c r="Q6" s="247"/>
    </row>
    <row r="7" spans="2:18" ht="15.75" x14ac:dyDescent="0.25">
      <c r="C7" s="289">
        <f>'DCF Overview'!F40</f>
        <v>8.9143302011801581E-2</v>
      </c>
      <c r="D7" s="244">
        <f>E7-0.5</f>
        <v>11.638226892642443</v>
      </c>
      <c r="E7" s="244">
        <f>F7-0.5</f>
        <v>12.138226892642443</v>
      </c>
      <c r="F7" s="244">
        <f>C6</f>
        <v>12.638226892642443</v>
      </c>
      <c r="G7" s="244">
        <f>F7+0.5</f>
        <v>13.138226892642443</v>
      </c>
      <c r="H7" s="244">
        <f>G7+0.5</f>
        <v>13.638226892642443</v>
      </c>
      <c r="L7" s="245"/>
      <c r="M7" s="244">
        <f>D7</f>
        <v>11.638226892642443</v>
      </c>
      <c r="N7" s="244">
        <f>E7</f>
        <v>12.138226892642443</v>
      </c>
      <c r="O7" s="244">
        <f>F7</f>
        <v>12.638226892642443</v>
      </c>
      <c r="P7" s="244">
        <f>G7</f>
        <v>13.138226892642443</v>
      </c>
      <c r="Q7" s="244">
        <f>H7</f>
        <v>13.638226892642443</v>
      </c>
    </row>
    <row r="8" spans="2:18" ht="15.95" customHeight="1" x14ac:dyDescent="0.25">
      <c r="B8" s="500" t="s">
        <v>32</v>
      </c>
      <c r="C8" s="482">
        <f>C9-0.005</f>
        <v>7.9143302011801572E-2</v>
      </c>
      <c r="D8" s="462">
        <f>(('DCF Overview'!$K$38*(1/((1+$C8)^'DCF Overview'!$K$40)))+('DCF Overview'!$L$38*(1/((1+$C8)^'DCF Overview'!$L$40)))+('DCF Overview'!$M$38*(1/((1+$C8)^'DCF Overview'!$M$40)))+('DCF Overview'!$N$38*(1/((1+$C8)^'DCF Overview'!$N$40)))+('DCF Overview'!$O$38*(1/((1+$C8)^'DCF Overview'!$O$40))))+(('DCF Overview'!$E$50*D$7)*(1/((1+$C8)^'DCF Overview'!$O$40)))</f>
        <v>19244.478949356326</v>
      </c>
      <c r="E8" s="462">
        <f>(('DCF Overview'!$K$38*(1/((1+$C8)^'DCF Overview'!$K$40)))+('DCF Overview'!$L$38*(1/((1+$C8)^'DCF Overview'!$L$40)))+('DCF Overview'!$M$38*(1/((1+$C8)^'DCF Overview'!$M$40)))+('DCF Overview'!$N$38*(1/((1+$C8)^'DCF Overview'!$N$40)))+('DCF Overview'!$O$38*(1/((1+$C8)^'DCF Overview'!$O$40))))+(('DCF Overview'!$E$50*E$7)*(1/((1+$C8)^'DCF Overview'!$O$40)))</f>
        <v>19848.621844523252</v>
      </c>
      <c r="F8" s="462">
        <f>(('DCF Overview'!$K$38*(1/((1+$C8)^'DCF Overview'!$K$40)))+('DCF Overview'!$L$38*(1/((1+$C8)^'DCF Overview'!$L$40)))+('DCF Overview'!$M$38*(1/((1+$C8)^'DCF Overview'!$M$40)))+('DCF Overview'!$N$38*(1/((1+$C8)^'DCF Overview'!$N$40)))+('DCF Overview'!$O$38*(1/((1+$C8)^'DCF Overview'!$O$40))))+(('DCF Overview'!$E$50*F$7)*(1/((1+$C8)^'DCF Overview'!$O$40)))</f>
        <v>20452.76473969017</v>
      </c>
      <c r="G8" s="462">
        <f>(('DCF Overview'!$K$38*(1/((1+$C8)^'DCF Overview'!$K$40)))+('DCF Overview'!$L$38*(1/((1+$C8)^'DCF Overview'!$L$40)))+('DCF Overview'!$M$38*(1/((1+$C8)^'DCF Overview'!$M$40)))+('DCF Overview'!$N$38*(1/((1+$C8)^'DCF Overview'!$N$40)))+('DCF Overview'!$O$38*(1/((1+$C8)^'DCF Overview'!$O$40))))+(('DCF Overview'!$E$50*G$7)*(1/((1+$C8)^'DCF Overview'!$O$40)))</f>
        <v>21056.907634857096</v>
      </c>
      <c r="H8" s="462">
        <f>(('DCF Overview'!$K$38*(1/((1+$C8)^'DCF Overview'!$K$40)))+('DCF Overview'!$L$38*(1/((1+$C8)^'DCF Overview'!$L$40)))+('DCF Overview'!$M$38*(1/((1+$C8)^'DCF Overview'!$M$40)))+('DCF Overview'!$N$38*(1/((1+$C8)^'DCF Overview'!$N$40)))+('DCF Overview'!$O$38*(1/((1+$C8)^'DCF Overview'!$O$40))))+(('DCF Overview'!$E$50*H$7)*(1/((1+$C8)^'DCF Overview'!$O$40)))</f>
        <v>21661.050530024018</v>
      </c>
      <c r="K8" s="500" t="s">
        <v>32</v>
      </c>
      <c r="L8" s="482">
        <f>C8</f>
        <v>7.9143302011801572E-2</v>
      </c>
      <c r="M8" s="462">
        <f>D8-'DCF Overview'!$K$50-'DCF Overview'!$K$51-'DCF Overview'!$K$52+'DCF Overview'!$K$53</f>
        <v>14787.478949356326</v>
      </c>
      <c r="N8" s="462">
        <f>E8-'DCF Overview'!$K$50-'DCF Overview'!$K$51-'DCF Overview'!$K$52+'DCF Overview'!$K$53</f>
        <v>15391.621844523252</v>
      </c>
      <c r="O8" s="462">
        <f>F8-'DCF Overview'!$K$50-'DCF Overview'!$K$51-'DCF Overview'!$K$52+'DCF Overview'!$K$53</f>
        <v>15995.76473969017</v>
      </c>
      <c r="P8" s="462">
        <f>G8-'DCF Overview'!$K$50-'DCF Overview'!$K$51-'DCF Overview'!$K$52+'DCF Overview'!$K$53</f>
        <v>16599.907634857096</v>
      </c>
      <c r="Q8" s="462">
        <f>H8-'DCF Overview'!$K$50-'DCF Overview'!$K$51-'DCF Overview'!$K$52+'DCF Overview'!$K$53</f>
        <v>17204.050530024018</v>
      </c>
    </row>
    <row r="9" spans="2:18" ht="15.75" x14ac:dyDescent="0.25">
      <c r="B9" s="500"/>
      <c r="C9" s="482">
        <f>C10-0.005</f>
        <v>8.4143302011801577E-2</v>
      </c>
      <c r="D9" s="462">
        <f>(('DCF Overview'!$K$38*(1/((1+$C9)^'DCF Overview'!$K$40)))+('DCF Overview'!$L$38*(1/((1+$C9)^'DCF Overview'!$L$40)))+('DCF Overview'!$M$38*(1/((1+$C9)^'DCF Overview'!$M$40)))+('DCF Overview'!$N$38*(1/((1+$C9)^'DCF Overview'!$N$40)))+('DCF Overview'!$O$38*(1/((1+$C9)^'DCF Overview'!$O$40))))+(('DCF Overview'!$E$50*D$7)*(1/((1+$C9)^'DCF Overview'!$O$40)))</f>
        <v>18899.299242790603</v>
      </c>
      <c r="E9" s="463">
        <f>(('DCF Overview'!$K$38*(1/((1+$C9)^'DCF Overview'!$K$40)))+('DCF Overview'!$L$38*(1/((1+$C9)^'DCF Overview'!$L$40)))+('DCF Overview'!$M$38*(1/((1+$C9)^'DCF Overview'!$M$40)))+('DCF Overview'!$N$38*(1/((1+$C9)^'DCF Overview'!$N$40)))+('DCF Overview'!$O$38*(1/((1+$C9)^'DCF Overview'!$O$40))))+(('DCF Overview'!$E$50*E$7)*(1/((1+$C9)^'DCF Overview'!$O$40)))</f>
        <v>19491.004735352504</v>
      </c>
      <c r="F9" s="463">
        <f>(('DCF Overview'!$K$38*(1/((1+$C9)^'DCF Overview'!$K$40)))+('DCF Overview'!$L$38*(1/((1+$C9)^'DCF Overview'!$L$40)))+('DCF Overview'!$M$38*(1/((1+$C9)^'DCF Overview'!$M$40)))+('DCF Overview'!$N$38*(1/((1+$C9)^'DCF Overview'!$N$40)))+('DCF Overview'!$O$38*(1/((1+$C9)^'DCF Overview'!$O$40))))+(('DCF Overview'!$E$50*F$7)*(1/((1+$C9)^'DCF Overview'!$O$40)))</f>
        <v>20082.710227914406</v>
      </c>
      <c r="G9" s="463">
        <f>(('DCF Overview'!$K$38*(1/((1+$C9)^'DCF Overview'!$K$40)))+('DCF Overview'!$L$38*(1/((1+$C9)^'DCF Overview'!$L$40)))+('DCF Overview'!$M$38*(1/((1+$C9)^'DCF Overview'!$M$40)))+('DCF Overview'!$N$38*(1/((1+$C9)^'DCF Overview'!$N$40)))+('DCF Overview'!$O$38*(1/((1+$C9)^'DCF Overview'!$O$40))))+(('DCF Overview'!$E$50*G$7)*(1/((1+$C9)^'DCF Overview'!$O$40)))</f>
        <v>20674.415720476311</v>
      </c>
      <c r="H9" s="462">
        <f>(('DCF Overview'!$K$38*(1/((1+$C9)^'DCF Overview'!$K$40)))+('DCF Overview'!$L$38*(1/((1+$C9)^'DCF Overview'!$L$40)))+('DCF Overview'!$M$38*(1/((1+$C9)^'DCF Overview'!$M$40)))+('DCF Overview'!$N$38*(1/((1+$C9)^'DCF Overview'!$N$40)))+('DCF Overview'!$O$38*(1/((1+$C9)^'DCF Overview'!$O$40))))+(('DCF Overview'!$E$50*H$7)*(1/((1+$C9)^'DCF Overview'!$O$40)))</f>
        <v>21266.121213038208</v>
      </c>
      <c r="K9" s="500"/>
      <c r="L9" s="482">
        <f>C9</f>
        <v>8.4143302011801577E-2</v>
      </c>
      <c r="M9" s="462">
        <f>D9-'DCF Overview'!$K$50-'DCF Overview'!$K$51-'DCF Overview'!$K$52+'DCF Overview'!$K$53</f>
        <v>14442.299242790603</v>
      </c>
      <c r="N9" s="463">
        <f>E9-'DCF Overview'!$K$50-'DCF Overview'!$K$51-'DCF Overview'!$K$52+'DCF Overview'!$K$53</f>
        <v>15034.004735352504</v>
      </c>
      <c r="O9" s="463">
        <f>F9-'DCF Overview'!$K$50-'DCF Overview'!$K$51-'DCF Overview'!$K$52+'DCF Overview'!$K$53</f>
        <v>15625.710227914406</v>
      </c>
      <c r="P9" s="463">
        <f>G9-'DCF Overview'!$K$50-'DCF Overview'!$K$51-'DCF Overview'!$K$52+'DCF Overview'!$K$53</f>
        <v>16217.415720476311</v>
      </c>
      <c r="Q9" s="462">
        <f>H9-'DCF Overview'!$K$50-'DCF Overview'!$K$51-'DCF Overview'!$K$52+'DCF Overview'!$K$53</f>
        <v>16809.121213038208</v>
      </c>
    </row>
    <row r="10" spans="2:18" ht="15.75" x14ac:dyDescent="0.25">
      <c r="B10" s="500"/>
      <c r="C10" s="482">
        <f>C7</f>
        <v>8.9143302011801581E-2</v>
      </c>
      <c r="D10" s="462">
        <f>(('DCF Overview'!$K$38*(1/((1+$C10)^'DCF Overview'!$K$40)))+('DCF Overview'!$L$38*(1/((1+$C10)^'DCF Overview'!$L$40)))+('DCF Overview'!$M$38*(1/((1+$C10)^'DCF Overview'!$M$40)))+('DCF Overview'!$N$38*(1/((1+$C10)^'DCF Overview'!$N$40)))+('DCF Overview'!$O$38*(1/((1+$C10)^'DCF Overview'!$O$40))))+(('DCF Overview'!$E$50*D$7)*(1/((1+$C10)^'DCF Overview'!$O$40)))</f>
        <v>18562.435346892591</v>
      </c>
      <c r="E10" s="463">
        <f>(('DCF Overview'!$K$38*(1/((1+$C10)^'DCF Overview'!$K$40)))+('DCF Overview'!$L$38*(1/((1+$C10)^'DCF Overview'!$L$40)))+('DCF Overview'!$M$38*(1/((1+$C10)^'DCF Overview'!$M$40)))+('DCF Overview'!$N$38*(1/((1+$C10)^'DCF Overview'!$N$40)))+('DCF Overview'!$O$38*(1/((1+$C10)^'DCF Overview'!$O$40))))+(('DCF Overview'!$E$50*E$7)*(1/((1+$C10)^'DCF Overview'!$O$40)))</f>
        <v>19142.014956149364</v>
      </c>
      <c r="F10" s="238">
        <f>(('DCF Overview'!$K$38*(1/((1+$C10)^'DCF Overview'!$K$40)))+('DCF Overview'!$L$38*(1/((1+$C10)^'DCF Overview'!$L$40)))+('DCF Overview'!$M$38*(1/((1+$C10)^'DCF Overview'!$M$40)))+('DCF Overview'!$N$38*(1/((1+$C10)^'DCF Overview'!$N$40)))+('DCF Overview'!$O$38*(1/((1+$C10)^'DCF Overview'!$O$40))))+(('DCF Overview'!$E$50*F$7)*(1/((1+$C10)^'DCF Overview'!$O$40)))</f>
        <v>19721.594565406132</v>
      </c>
      <c r="G10" s="463">
        <f>(('DCF Overview'!$K$38*(1/((1+$C10)^'DCF Overview'!$K$40)))+('DCF Overview'!$L$38*(1/((1+$C10)^'DCF Overview'!$L$40)))+('DCF Overview'!$M$38*(1/((1+$C10)^'DCF Overview'!$M$40)))+('DCF Overview'!$N$38*(1/((1+$C10)^'DCF Overview'!$N$40)))+('DCF Overview'!$O$38*(1/((1+$C10)^'DCF Overview'!$O$40))))+(('DCF Overview'!$E$50*G$7)*(1/((1+$C10)^'DCF Overview'!$O$40)))</f>
        <v>20301.174174662905</v>
      </c>
      <c r="H10" s="462">
        <f>(('DCF Overview'!$K$38*(1/((1+$C10)^'DCF Overview'!$K$40)))+('DCF Overview'!$L$38*(1/((1+$C10)^'DCF Overview'!$L$40)))+('DCF Overview'!$M$38*(1/((1+$C10)^'DCF Overview'!$M$40)))+('DCF Overview'!$N$38*(1/((1+$C10)^'DCF Overview'!$N$40)))+('DCF Overview'!$O$38*(1/((1+$C10)^'DCF Overview'!$O$40))))+(('DCF Overview'!$E$50*H$7)*(1/((1+$C10)^'DCF Overview'!$O$40)))</f>
        <v>20880.753783919674</v>
      </c>
      <c r="K10" s="500"/>
      <c r="L10" s="482">
        <f>C10</f>
        <v>8.9143302011801581E-2</v>
      </c>
      <c r="M10" s="462">
        <f>D10-'DCF Overview'!$K$50-'DCF Overview'!$K$51-'DCF Overview'!$K$52+'DCF Overview'!$K$53</f>
        <v>14105.435346892591</v>
      </c>
      <c r="N10" s="463">
        <f>E10-'DCF Overview'!$K$50-'DCF Overview'!$K$51-'DCF Overview'!$K$52+'DCF Overview'!$K$53</f>
        <v>14685.014956149364</v>
      </c>
      <c r="O10" s="238">
        <f>F10-'DCF Overview'!$K$50-'DCF Overview'!$K$51-'DCF Overview'!$K$52+'DCF Overview'!$K$53</f>
        <v>15264.594565406132</v>
      </c>
      <c r="P10" s="463">
        <f>G10-'DCF Overview'!$K$50-'DCF Overview'!$K$51-'DCF Overview'!$K$52+'DCF Overview'!$K$53</f>
        <v>15844.174174662905</v>
      </c>
      <c r="Q10" s="462">
        <f>H10-'DCF Overview'!$K$50-'DCF Overview'!$K$51-'DCF Overview'!$K$52+'DCF Overview'!$K$53</f>
        <v>16423.753783919674</v>
      </c>
    </row>
    <row r="11" spans="2:18" ht="15.75" x14ac:dyDescent="0.25">
      <c r="B11" s="500"/>
      <c r="C11" s="482">
        <f>C10+0.005</f>
        <v>9.4143302011801586E-2</v>
      </c>
      <c r="D11" s="462">
        <f>(('DCF Overview'!$K$38*(1/((1+$C11)^'DCF Overview'!$K$40)))+('DCF Overview'!$L$38*(1/((1+$C11)^'DCF Overview'!$L$40)))+('DCF Overview'!$M$38*(1/((1+$C11)^'DCF Overview'!$M$40)))+('DCF Overview'!$N$38*(1/((1+$C11)^'DCF Overview'!$N$40)))+('DCF Overview'!$O$38*(1/((1+$C11)^'DCF Overview'!$O$40))))+(('DCF Overview'!$E$50*D$7)*(1/((1+$C11)^'DCF Overview'!$O$40)))</f>
        <v>18233.646843025534</v>
      </c>
      <c r="E11" s="463">
        <f>(('DCF Overview'!$K$38*(1/((1+$C11)^'DCF Overview'!$K$40)))+('DCF Overview'!$L$38*(1/((1+$C11)^'DCF Overview'!$L$40)))+('DCF Overview'!$M$38*(1/((1+$C11)^'DCF Overview'!$M$40)))+('DCF Overview'!$N$38*(1/((1+$C11)^'DCF Overview'!$N$40)))+('DCF Overview'!$O$38*(1/((1+$C11)^'DCF Overview'!$O$40))))+(('DCF Overview'!$E$50*E$7)*(1/((1+$C11)^'DCF Overview'!$O$40)))</f>
        <v>18801.402908862114</v>
      </c>
      <c r="F11" s="463">
        <f>(('DCF Overview'!$K$38*(1/((1+$C11)^'DCF Overview'!$K$40)))+('DCF Overview'!$L$38*(1/((1+$C11)^'DCF Overview'!$L$40)))+('DCF Overview'!$M$38*(1/((1+$C11)^'DCF Overview'!$M$40)))+('DCF Overview'!$N$38*(1/((1+$C11)^'DCF Overview'!$N$40)))+('DCF Overview'!$O$38*(1/((1+$C11)^'DCF Overview'!$O$40))))+(('DCF Overview'!$E$50*F$7)*(1/((1+$C11)^'DCF Overview'!$O$40)))</f>
        <v>19369.15897469869</v>
      </c>
      <c r="G11" s="463">
        <f>(('DCF Overview'!$K$38*(1/((1+$C11)^'DCF Overview'!$K$40)))+('DCF Overview'!$L$38*(1/((1+$C11)^'DCF Overview'!$L$40)))+('DCF Overview'!$M$38*(1/((1+$C11)^'DCF Overview'!$M$40)))+('DCF Overview'!$N$38*(1/((1+$C11)^'DCF Overview'!$N$40)))+('DCF Overview'!$O$38*(1/((1+$C11)^'DCF Overview'!$O$40))))+(('DCF Overview'!$E$50*G$7)*(1/((1+$C11)^'DCF Overview'!$O$40)))</f>
        <v>19936.91504053527</v>
      </c>
      <c r="H11" s="462">
        <f>(('DCF Overview'!$K$38*(1/((1+$C11)^'DCF Overview'!$K$40)))+('DCF Overview'!$L$38*(1/((1+$C11)^'DCF Overview'!$L$40)))+('DCF Overview'!$M$38*(1/((1+$C11)^'DCF Overview'!$M$40)))+('DCF Overview'!$N$38*(1/((1+$C11)^'DCF Overview'!$N$40)))+('DCF Overview'!$O$38*(1/((1+$C11)^'DCF Overview'!$O$40))))+(('DCF Overview'!$E$50*H$7)*(1/((1+$C11)^'DCF Overview'!$O$40)))</f>
        <v>20504.671106371847</v>
      </c>
      <c r="K11" s="500"/>
      <c r="L11" s="482">
        <f>C11</f>
        <v>9.4143302011801586E-2</v>
      </c>
      <c r="M11" s="462">
        <f>D11-'DCF Overview'!$K$50-'DCF Overview'!$K$51-'DCF Overview'!$K$52+'DCF Overview'!$K$53</f>
        <v>13776.646843025534</v>
      </c>
      <c r="N11" s="463">
        <f>E11-'DCF Overview'!$K$50-'DCF Overview'!$K$51-'DCF Overview'!$K$52+'DCF Overview'!$K$53</f>
        <v>14344.402908862114</v>
      </c>
      <c r="O11" s="463">
        <f>F11-'DCF Overview'!$K$50-'DCF Overview'!$K$51-'DCF Overview'!$K$52+'DCF Overview'!$K$53</f>
        <v>14912.15897469869</v>
      </c>
      <c r="P11" s="463">
        <f>G11-'DCF Overview'!$K$50-'DCF Overview'!$K$51-'DCF Overview'!$K$52+'DCF Overview'!$K$53</f>
        <v>15479.91504053527</v>
      </c>
      <c r="Q11" s="462">
        <f>H11-'DCF Overview'!$K$50-'DCF Overview'!$K$51-'DCF Overview'!$K$52+'DCF Overview'!$K$53</f>
        <v>16047.671106371847</v>
      </c>
    </row>
    <row r="12" spans="2:18" ht="15.75" x14ac:dyDescent="0.25">
      <c r="B12" s="500"/>
      <c r="C12" s="482">
        <f>C11+0.005</f>
        <v>9.914330201180159E-2</v>
      </c>
      <c r="D12" s="462">
        <f>(('DCF Overview'!$K$38*(1/((1+$C12)^'DCF Overview'!$K$40)))+('DCF Overview'!$L$38*(1/((1+$C12)^'DCF Overview'!$L$40)))+('DCF Overview'!$M$38*(1/((1+$C12)^'DCF Overview'!$M$40)))+('DCF Overview'!$N$38*(1/((1+$C12)^'DCF Overview'!$N$40)))+('DCF Overview'!$O$38*(1/((1+$C12)^'DCF Overview'!$O$40))))+(('DCF Overview'!$E$50*D$7)*(1/((1+$C12)^'DCF Overview'!$O$40)))</f>
        <v>17912.701358048529</v>
      </c>
      <c r="E12" s="462">
        <f>(('DCF Overview'!$K$38*(1/((1+$C12)^'DCF Overview'!$K$40)))+('DCF Overview'!$L$38*(1/((1+$C12)^'DCF Overview'!$L$40)))+('DCF Overview'!$M$38*(1/((1+$C12)^'DCF Overview'!$M$40)))+('DCF Overview'!$N$38*(1/((1+$C12)^'DCF Overview'!$N$40)))+('DCF Overview'!$O$38*(1/((1+$C12)^'DCF Overview'!$O$40))))+(('DCF Overview'!$E$50*E$7)*(1/((1+$C12)^'DCF Overview'!$O$40)))</f>
        <v>18468.927351624006</v>
      </c>
      <c r="F12" s="462">
        <f>(('DCF Overview'!$K$38*(1/((1+$C12)^'DCF Overview'!$K$40)))+('DCF Overview'!$L$38*(1/((1+$C12)^'DCF Overview'!$L$40)))+('DCF Overview'!$M$38*(1/((1+$C12)^'DCF Overview'!$M$40)))+('DCF Overview'!$N$38*(1/((1+$C12)^'DCF Overview'!$N$40)))+('DCF Overview'!$O$38*(1/((1+$C12)^'DCF Overview'!$O$40))))+(('DCF Overview'!$E$50*F$7)*(1/((1+$C12)^'DCF Overview'!$O$40)))</f>
        <v>19025.153345199484</v>
      </c>
      <c r="G12" s="462">
        <f>(('DCF Overview'!$K$38*(1/((1+$C12)^'DCF Overview'!$K$40)))+('DCF Overview'!$L$38*(1/((1+$C12)^'DCF Overview'!$L$40)))+('DCF Overview'!$M$38*(1/((1+$C12)^'DCF Overview'!$M$40)))+('DCF Overview'!$N$38*(1/((1+$C12)^'DCF Overview'!$N$40)))+('DCF Overview'!$O$38*(1/((1+$C12)^'DCF Overview'!$O$40))))+(('DCF Overview'!$E$50*G$7)*(1/((1+$C12)^'DCF Overview'!$O$40)))</f>
        <v>19581.379338774968</v>
      </c>
      <c r="H12" s="462">
        <f>(('DCF Overview'!$K$38*(1/((1+$C12)^'DCF Overview'!$K$40)))+('DCF Overview'!$L$38*(1/((1+$C12)^'DCF Overview'!$L$40)))+('DCF Overview'!$M$38*(1/((1+$C12)^'DCF Overview'!$M$40)))+('DCF Overview'!$N$38*(1/((1+$C12)^'DCF Overview'!$N$40)))+('DCF Overview'!$O$38*(1/((1+$C12)^'DCF Overview'!$O$40))))+(('DCF Overview'!$E$50*H$7)*(1/((1+$C12)^'DCF Overview'!$O$40)))</f>
        <v>20137.605332350446</v>
      </c>
      <c r="K12" s="500"/>
      <c r="L12" s="482">
        <f>C12</f>
        <v>9.914330201180159E-2</v>
      </c>
      <c r="M12" s="462">
        <f>D12-'DCF Overview'!$K$50-'DCF Overview'!$K$51-'DCF Overview'!$K$52+'DCF Overview'!$K$53</f>
        <v>13455.701358048529</v>
      </c>
      <c r="N12" s="462">
        <f>E12-'DCF Overview'!$K$50-'DCF Overview'!$K$51-'DCF Overview'!$K$52+'DCF Overview'!$K$53</f>
        <v>14011.927351624006</v>
      </c>
      <c r="O12" s="462">
        <f>F12-'DCF Overview'!$K$50-'DCF Overview'!$K$51-'DCF Overview'!$K$52+'DCF Overview'!$K$53</f>
        <v>14568.153345199484</v>
      </c>
      <c r="P12" s="462">
        <f>G12-'DCF Overview'!$K$50-'DCF Overview'!$K$51-'DCF Overview'!$K$52+'DCF Overview'!$K$53</f>
        <v>15124.379338774968</v>
      </c>
      <c r="Q12" s="462">
        <f>H12-'DCF Overview'!$K$50-'DCF Overview'!$K$51-'DCF Overview'!$K$52+'DCF Overview'!$K$53</f>
        <v>15680.605332350446</v>
      </c>
    </row>
    <row r="15" spans="2:18" ht="20.25" x14ac:dyDescent="0.25">
      <c r="B15" s="200" t="s">
        <v>26</v>
      </c>
      <c r="C15" s="200"/>
      <c r="D15" s="200"/>
      <c r="E15" s="200"/>
      <c r="F15" s="200"/>
      <c r="G15" s="200"/>
      <c r="H15" s="200"/>
      <c r="I15" s="200"/>
      <c r="K15" s="200" t="s">
        <v>46</v>
      </c>
      <c r="L15" s="200"/>
      <c r="M15" s="200"/>
      <c r="N15" s="200"/>
      <c r="O15" s="200"/>
      <c r="P15" s="200"/>
      <c r="Q15" s="200"/>
      <c r="R15" s="200"/>
    </row>
    <row r="17" spans="2:17" ht="15.75" x14ac:dyDescent="0.25">
      <c r="D17" s="242" t="s">
        <v>33</v>
      </c>
      <c r="E17" s="243"/>
      <c r="F17" s="242"/>
      <c r="G17" s="243"/>
      <c r="H17" s="243"/>
      <c r="M17" s="246" t="s">
        <v>33</v>
      </c>
      <c r="N17" s="247"/>
      <c r="O17" s="246"/>
      <c r="P17" s="247"/>
      <c r="Q17" s="247"/>
    </row>
    <row r="18" spans="2:17" ht="15.75" x14ac:dyDescent="0.25">
      <c r="C18" s="245"/>
      <c r="D18" s="244">
        <f>D7</f>
        <v>11.638226892642443</v>
      </c>
      <c r="E18" s="244">
        <f t="shared" ref="E18:H18" si="0">E7</f>
        <v>12.138226892642443</v>
      </c>
      <c r="F18" s="244">
        <f t="shared" si="0"/>
        <v>12.638226892642443</v>
      </c>
      <c r="G18" s="244">
        <f t="shared" si="0"/>
        <v>13.138226892642443</v>
      </c>
      <c r="H18" s="244">
        <f t="shared" si="0"/>
        <v>13.638226892642443</v>
      </c>
      <c r="L18" s="245"/>
      <c r="M18" s="244">
        <f>D7</f>
        <v>11.638226892642443</v>
      </c>
      <c r="N18" s="244">
        <f>E7</f>
        <v>12.138226892642443</v>
      </c>
      <c r="O18" s="244">
        <f>F7</f>
        <v>12.638226892642443</v>
      </c>
      <c r="P18" s="244">
        <f>G7</f>
        <v>13.138226892642443</v>
      </c>
      <c r="Q18" s="244">
        <f>H7</f>
        <v>13.638226892642443</v>
      </c>
    </row>
    <row r="19" spans="2:17" ht="15.95" customHeight="1" x14ac:dyDescent="0.25">
      <c r="B19" s="500" t="s">
        <v>32</v>
      </c>
      <c r="C19" s="482">
        <f>C8</f>
        <v>7.9143302011801572E-2</v>
      </c>
      <c r="D19" s="248">
        <f>(((('DCF Overview'!$O$22+'DCF Overview'!$O$27)*D$18)*$C19)-'DCF Overview'!$O$38*(1+$C19)^0.5)/((('DCF Overview'!$O$22+'DCF Overview'!$O$27)*D$18)+'DCF Overview'!$O$38*(1+$C19)^0.5)</f>
        <v>1.2728984526405713E-2</v>
      </c>
      <c r="E19" s="248">
        <f>(((('DCF Overview'!$O$22+'DCF Overview'!$O$27)*E$18)*$C19)-'DCF Overview'!$O$38*(1+$C19)^0.5)/((('DCF Overview'!$O$22+'DCF Overview'!$O$27)*E$18)+'DCF Overview'!$O$38*(1+$C19)^0.5)</f>
        <v>1.5302892236744586E-2</v>
      </c>
      <c r="F19" s="248">
        <f>(((('DCF Overview'!$O$22+'DCF Overview'!$O$27)*F$18)*$C19)-'DCF Overview'!$O$38*(1+$C19)^0.5)/((('DCF Overview'!$O$22+'DCF Overview'!$O$27)*F$18)+'DCF Overview'!$O$38*(1+$C19)^0.5)</f>
        <v>1.7684738160233728E-2</v>
      </c>
      <c r="G19" s="248">
        <f>(((('DCF Overview'!$O$22+'DCF Overview'!$O$27)*G$18)*$C19)-'DCF Overview'!$O$38*(1+$C19)^0.5)/((('DCF Overview'!$O$22+'DCF Overview'!$O$27)*G$18)+'DCF Overview'!$O$38*(1+$C19)^0.5)</f>
        <v>1.9895246217218682E-2</v>
      </c>
      <c r="H19" s="248">
        <f>(((('DCF Overview'!$O$22+'DCF Overview'!$O$27)*H$18)*$C19)-'DCF Overview'!$O$38*(1+$C19)^0.5)/((('DCF Overview'!$O$22+'DCF Overview'!$O$27)*H$18)+'DCF Overview'!$O$38*(1+$C19)^0.5)</f>
        <v>2.1952262296905348E-2</v>
      </c>
      <c r="K19" s="500" t="s">
        <v>32</v>
      </c>
      <c r="L19" s="482">
        <f>C8</f>
        <v>7.9143302011801572E-2</v>
      </c>
      <c r="M19" s="462">
        <f>'DCF Sensitivity Analysis'!M8/'DCF Overview'!$K$56</f>
        <v>107.5374805421884</v>
      </c>
      <c r="N19" s="462">
        <f>'DCF Sensitivity Analysis'!N8/'DCF Overview'!$K$56</f>
        <v>111.93092752907609</v>
      </c>
      <c r="O19" s="462">
        <f>'DCF Sensitivity Analysis'!O8/'DCF Overview'!$K$56</f>
        <v>116.32437451596373</v>
      </c>
      <c r="P19" s="462">
        <f>'DCF Sensitivity Analysis'!P8/'DCF Overview'!$K$56</f>
        <v>120.71782150285141</v>
      </c>
      <c r="Q19" s="462">
        <f>'DCF Sensitivity Analysis'!Q8/'DCF Overview'!$K$56</f>
        <v>125.11126848973907</v>
      </c>
    </row>
    <row r="20" spans="2:17" ht="15.95" customHeight="1" x14ac:dyDescent="0.25">
      <c r="B20" s="500"/>
      <c r="C20" s="482">
        <f t="shared" ref="C20:C23" si="1">C9</f>
        <v>8.4143302011801577E-2</v>
      </c>
      <c r="D20" s="248">
        <f>(((('DCF Overview'!$O$22+'DCF Overview'!$O$27)*D$18)*$C20)-'DCF Overview'!$O$38*(1+$C20)^0.5)/((('DCF Overview'!$O$22+'DCF Overview'!$O$27)*D$18)+'DCF Overview'!$O$38*(1+$C20)^0.5)</f>
        <v>1.7276396137443337E-2</v>
      </c>
      <c r="E20" s="249">
        <f>(((('DCF Overview'!$O$22+'DCF Overview'!$O$27)*E$18)*$C20)-'DCF Overview'!$O$38*(1+$C20)^0.5)/((('DCF Overview'!$O$22+'DCF Overview'!$O$27)*E$18)+'DCF Overview'!$O$38*(1+$C20)^0.5)</f>
        <v>1.9867489355154214E-2</v>
      </c>
      <c r="F20" s="249">
        <f>(((('DCF Overview'!$O$22+'DCF Overview'!$O$27)*F$18)*$C20)-'DCF Overview'!$O$38*(1+$C20)^0.5)/((('DCF Overview'!$O$22+'DCF Overview'!$O$27)*F$18)+'DCF Overview'!$O$38*(1+$C20)^0.5)</f>
        <v>2.2265263901131749E-2</v>
      </c>
      <c r="G20" s="249">
        <f>(((('DCF Overview'!$O$22+'DCF Overview'!$O$27)*G$18)*$C20)-'DCF Overview'!$O$38*(1+$C20)^0.5)/((('DCF Overview'!$O$22+'DCF Overview'!$O$27)*G$18)+'DCF Overview'!$O$38*(1+$C20)^0.5)</f>
        <v>2.4490576666828422E-2</v>
      </c>
      <c r="H20" s="248">
        <f>(((('DCF Overview'!$O$22+'DCF Overview'!$O$27)*H$18)*$C20)-'DCF Overview'!$O$38*(1+$C20)^0.5)/((('DCF Overview'!$O$22+'DCF Overview'!$O$27)*H$18)+'DCF Overview'!$O$38*(1+$C20)^0.5)</f>
        <v>2.6561388401378592E-2</v>
      </c>
      <c r="K20" s="500"/>
      <c r="L20" s="482">
        <f>C9</f>
        <v>8.4143302011801577E-2</v>
      </c>
      <c r="M20" s="462">
        <f>'DCF Sensitivity Analysis'!M9/'DCF Overview'!$K$56</f>
        <v>105.02726523736895</v>
      </c>
      <c r="N20" s="463">
        <f>'DCF Sensitivity Analysis'!N9/'DCF Overview'!$K$56</f>
        <v>109.33026496511167</v>
      </c>
      <c r="O20" s="463">
        <f>'DCF Sensitivity Analysis'!O9/'DCF Overview'!$K$56</f>
        <v>113.63326469285438</v>
      </c>
      <c r="P20" s="463">
        <f>'DCF Sensitivity Analysis'!P9/'DCF Overview'!$K$56</f>
        <v>117.93626442059713</v>
      </c>
      <c r="Q20" s="462">
        <f>'DCF Sensitivity Analysis'!Q9/'DCF Overview'!$K$56</f>
        <v>122.23926414833983</v>
      </c>
    </row>
    <row r="21" spans="2:17" ht="15.75" x14ac:dyDescent="0.25">
      <c r="B21" s="500"/>
      <c r="C21" s="482">
        <f t="shared" si="1"/>
        <v>8.9143302011801581E-2</v>
      </c>
      <c r="D21" s="248">
        <f>(((('DCF Overview'!$O$22+'DCF Overview'!$O$27)*D$18)*$C21)-'DCF Overview'!$O$38*(1+$C21)^0.5)/((('DCF Overview'!$O$22+'DCF Overview'!$O$27)*D$18)+'DCF Overview'!$O$38*(1+$C21)^0.5)</f>
        <v>2.1822848000551228E-2</v>
      </c>
      <c r="E21" s="249">
        <f>(((('DCF Overview'!$O$22+'DCF Overview'!$O$27)*E$18)*$C21)-'DCF Overview'!$O$38*(1+$C21)^0.5)/((('DCF Overview'!$O$22+'DCF Overview'!$O$27)*E$18)+'DCF Overview'!$O$38*(1+$C21)^0.5)</f>
        <v>2.4431160029173799E-2</v>
      </c>
      <c r="F21" s="250">
        <f>(((('DCF Overview'!$O$22+'DCF Overview'!$O$27)*F$18)*$C21)-'DCF Overview'!$O$38*(1+$C21)^0.5)/((('DCF Overview'!$O$22+'DCF Overview'!$O$27)*F$18)+'DCF Overview'!$O$38*(1+$C21)^0.5)</f>
        <v>2.684489428890573E-2</v>
      </c>
      <c r="G21" s="249">
        <f>(((('DCF Overview'!$O$22+'DCF Overview'!$O$27)*G$18)*$C21)-'DCF Overview'!$O$38*(1+$C21)^0.5)/((('DCF Overview'!$O$22+'DCF Overview'!$O$27)*G$18)+'DCF Overview'!$O$38*(1+$C21)^0.5)</f>
        <v>2.9085040853318252E-2</v>
      </c>
      <c r="H21" s="248">
        <f>(((('DCF Overview'!$O$22+'DCF Overview'!$O$27)*H$18)*$C21)-'DCF Overview'!$O$38*(1+$C21)^0.5)/((('DCF Overview'!$O$22+'DCF Overview'!$O$27)*H$18)+'DCF Overview'!$O$38*(1+$C21)^0.5)</f>
        <v>3.1169675516806879E-2</v>
      </c>
      <c r="K21" s="500"/>
      <c r="L21" s="482">
        <f>C10</f>
        <v>8.9143302011801581E-2</v>
      </c>
      <c r="M21" s="462">
        <f>'DCF Sensitivity Analysis'!M10/'DCF Overview'!$K$56</f>
        <v>102.57752415746195</v>
      </c>
      <c r="N21" s="463">
        <f>'DCF Sensitivity Analysis'!N10/'DCF Overview'!$K$56</f>
        <v>106.79234205620948</v>
      </c>
      <c r="O21" s="238">
        <f>'DCF Sensitivity Analysis'!O10/'DCF Overview'!$K$56</f>
        <v>111.00715995495698</v>
      </c>
      <c r="P21" s="463">
        <f>'DCF Sensitivity Analysis'!P10/'DCF Overview'!$K$56</f>
        <v>115.2219778537045</v>
      </c>
      <c r="Q21" s="462">
        <f>'DCF Sensitivity Analysis'!Q10/'DCF Overview'!$K$56</f>
        <v>119.436795752452</v>
      </c>
    </row>
    <row r="22" spans="2:17" ht="15.75" x14ac:dyDescent="0.25">
      <c r="B22" s="500"/>
      <c r="C22" s="482">
        <f t="shared" si="1"/>
        <v>9.4143302011801586E-2</v>
      </c>
      <c r="D22" s="248">
        <f>(((('DCF Overview'!$O$22+'DCF Overview'!$O$27)*D$18)*$C22)-'DCF Overview'!$O$38*(1+$C22)^0.5)/((('DCF Overview'!$O$22+'DCF Overview'!$O$27)*D$18)+'DCF Overview'!$O$38*(1+$C22)^0.5)</f>
        <v>2.6368342681972527E-2</v>
      </c>
      <c r="E22" s="249">
        <f>(((('DCF Overview'!$O$22+'DCF Overview'!$O$27)*E$18)*$C22)-'DCF Overview'!$O$38*(1+$C22)^0.5)/((('DCF Overview'!$O$22+'DCF Overview'!$O$27)*E$18)+'DCF Overview'!$O$38*(1+$C22)^0.5)</f>
        <v>2.8993906722580821E-2</v>
      </c>
      <c r="F22" s="249">
        <f>(((('DCF Overview'!$O$22+'DCF Overview'!$O$27)*F$18)*$C22)-'DCF Overview'!$O$38*(1+$C22)^0.5)/((('DCF Overview'!$O$22+'DCF Overview'!$O$27)*F$18)+'DCF Overview'!$O$38*(1+$C22)^0.5)</f>
        <v>3.1423631692645199E-2</v>
      </c>
      <c r="G22" s="249">
        <f>(((('DCF Overview'!$O$22+'DCF Overview'!$O$27)*G$18)*$C22)-'DCF Overview'!$O$38*(1+$C22)^0.5)/((('DCF Overview'!$O$22+'DCF Overview'!$O$27)*G$18)+'DCF Overview'!$O$38*(1+$C22)^0.5)</f>
        <v>3.3678641058022707E-2</v>
      </c>
      <c r="H22" s="248">
        <f>(((('DCF Overview'!$O$22+'DCF Overview'!$O$27)*H$18)*$C22)-'DCF Overview'!$O$38*(1+$C22)^0.5)/((('DCF Overview'!$O$22+'DCF Overview'!$O$27)*H$18)+'DCF Overview'!$O$38*(1+$C22)^0.5)</f>
        <v>3.5777125842975037E-2</v>
      </c>
      <c r="K22" s="500"/>
      <c r="L22" s="482">
        <f>C11</f>
        <v>9.4143302011801586E-2</v>
      </c>
      <c r="M22" s="462">
        <f>'DCF Sensitivity Analysis'!M11/'DCF Overview'!$K$56</f>
        <v>100.18650893044531</v>
      </c>
      <c r="N22" s="463">
        <f>'DCF Sensitivity Analysis'!N11/'DCF Overview'!$K$56</f>
        <v>104.31534367582077</v>
      </c>
      <c r="O22" s="463">
        <f>'DCF Sensitivity Analysis'!O11/'DCF Overview'!$K$56</f>
        <v>108.44417842119621</v>
      </c>
      <c r="P22" s="463">
        <f>'DCF Sensitivity Analysis'!P11/'DCF Overview'!$K$56</f>
        <v>112.57301316657167</v>
      </c>
      <c r="Q22" s="462">
        <f>'DCF Sensitivity Analysis'!Q11/'DCF Overview'!$K$56</f>
        <v>116.70184791194711</v>
      </c>
    </row>
    <row r="23" spans="2:17" ht="15.75" x14ac:dyDescent="0.25">
      <c r="B23" s="500"/>
      <c r="C23" s="482">
        <f t="shared" si="1"/>
        <v>9.914330201180159E-2</v>
      </c>
      <c r="D23" s="248">
        <f>(((('DCF Overview'!$O$22+'DCF Overview'!$O$27)*D$18)*$C23)-'DCF Overview'!$O$38*(1+$C23)^0.5)/((('DCF Overview'!$O$22+'DCF Overview'!$O$27)*D$18)+'DCF Overview'!$O$38*(1+$C23)^0.5)</f>
        <v>3.0912882730148961E-2</v>
      </c>
      <c r="E23" s="248">
        <f>(((('DCF Overview'!$O$22+'DCF Overview'!$O$27)*E$18)*$C23)-'DCF Overview'!$O$38*(1+$C23)^0.5)/((('DCF Overview'!$O$22+'DCF Overview'!$O$27)*E$18)+'DCF Overview'!$O$38*(1+$C23)^0.5)</f>
        <v>3.3555731882075002E-2</v>
      </c>
      <c r="F23" s="248">
        <f>(((('DCF Overview'!$O$22+'DCF Overview'!$O$27)*F$18)*$C23)-'DCF Overview'!$O$38*(1+$C23)^0.5)/((('DCF Overview'!$O$22+'DCF Overview'!$O$27)*F$18)+'DCF Overview'!$O$38*(1+$C23)^0.5)</f>
        <v>3.6001478465029442E-2</v>
      </c>
      <c r="G23" s="248">
        <f>(((('DCF Overview'!$O$22+'DCF Overview'!$O$27)*G$18)*$C23)-'DCF Overview'!$O$38*(1+$C23)^0.5)/((('DCF Overview'!$O$22+'DCF Overview'!$O$27)*G$18)+'DCF Overview'!$O$38*(1+$C23)^0.5)</f>
        <v>3.827137954648363E-2</v>
      </c>
      <c r="H23" s="248">
        <f>(((('DCF Overview'!$O$22+'DCF Overview'!$O$27)*H$18)*$C23)-'DCF Overview'!$O$38*(1+$C23)^0.5)/((('DCF Overview'!$O$22+'DCF Overview'!$O$27)*H$18)+'DCF Overview'!$O$38*(1+$C23)^0.5)</f>
        <v>4.038374156444817E-2</v>
      </c>
      <c r="K23" s="500"/>
      <c r="L23" s="482">
        <f>C12</f>
        <v>9.914330201180159E-2</v>
      </c>
      <c r="M23" s="462">
        <f>'DCF Sensitivity Analysis'!M12/'DCF Overview'!$K$56</f>
        <v>97.852529692738926</v>
      </c>
      <c r="N23" s="462">
        <f>'DCF Sensitivity Analysis'!N12/'DCF Overview'!$K$56</f>
        <v>101.89751546523168</v>
      </c>
      <c r="O23" s="462">
        <f>'DCF Sensitivity Analysis'!O12/'DCF Overview'!$K$56</f>
        <v>105.94250123772441</v>
      </c>
      <c r="P23" s="462">
        <f>'DCF Sensitivity Analysis'!P12/'DCF Overview'!$K$56</f>
        <v>109.98748701021722</v>
      </c>
      <c r="Q23" s="462">
        <f>'DCF Sensitivity Analysis'!Q12/'DCF Overview'!$K$56</f>
        <v>114.03247278270996</v>
      </c>
    </row>
    <row r="26" spans="2:17" ht="20.25" x14ac:dyDescent="0.25">
      <c r="F26" s="200" t="s">
        <v>54</v>
      </c>
      <c r="G26" s="200"/>
      <c r="H26" s="200"/>
      <c r="I26" s="200"/>
      <c r="J26" s="200"/>
      <c r="K26" s="200"/>
      <c r="L26" s="200"/>
      <c r="M26" s="200"/>
    </row>
    <row r="28" spans="2:17" ht="15.75" x14ac:dyDescent="0.25">
      <c r="H28" s="242" t="s">
        <v>33</v>
      </c>
      <c r="I28" s="243"/>
      <c r="J28" s="242"/>
      <c r="K28" s="243"/>
      <c r="L28" s="243"/>
    </row>
    <row r="29" spans="2:17" ht="15.75" x14ac:dyDescent="0.25">
      <c r="G29" s="245"/>
      <c r="H29" s="244">
        <f>D7</f>
        <v>11.638226892642443</v>
      </c>
      <c r="I29" s="244">
        <f>E7</f>
        <v>12.138226892642443</v>
      </c>
      <c r="J29" s="244">
        <f>F7</f>
        <v>12.638226892642443</v>
      </c>
      <c r="K29" s="244">
        <f>G7</f>
        <v>13.138226892642443</v>
      </c>
      <c r="L29" s="244">
        <f>H7</f>
        <v>13.638226892642443</v>
      </c>
    </row>
    <row r="30" spans="2:17" ht="15.75" x14ac:dyDescent="0.25">
      <c r="F30" s="500" t="s">
        <v>32</v>
      </c>
      <c r="G30" s="482">
        <f>C8</f>
        <v>7.9143302011801572E-2</v>
      </c>
      <c r="H30" s="252">
        <f>D8/('DCF Overview'!$I$22+'DCF Overview'!$I$27)</f>
        <v>13.542912701869335</v>
      </c>
      <c r="I30" s="252">
        <f>E8/('DCF Overview'!$I$22+'DCF Overview'!$I$27)</f>
        <v>13.968066041184555</v>
      </c>
      <c r="J30" s="252">
        <f>F8/('DCF Overview'!$I$22+'DCF Overview'!$I$27)</f>
        <v>14.393219380499769</v>
      </c>
      <c r="K30" s="252">
        <f>G8/('DCF Overview'!$I$22+'DCF Overview'!$I$27)</f>
        <v>14.818372719814986</v>
      </c>
      <c r="L30" s="252">
        <f>H8/('DCF Overview'!$I$22+'DCF Overview'!$I$27)</f>
        <v>15.243526059130202</v>
      </c>
    </row>
    <row r="31" spans="2:17" ht="15.75" x14ac:dyDescent="0.25">
      <c r="F31" s="500"/>
      <c r="G31" s="482">
        <f>C9</f>
        <v>8.4143302011801577E-2</v>
      </c>
      <c r="H31" s="252">
        <f>D9/('DCF Overview'!$I$22+'DCF Overview'!$I$27)</f>
        <v>13.299999467129206</v>
      </c>
      <c r="I31" s="253">
        <f>E9/('DCF Overview'!$I$22+'DCF Overview'!$I$27)</f>
        <v>13.71640023599754</v>
      </c>
      <c r="J31" s="253">
        <f>F9/('DCF Overview'!$I$22+'DCF Overview'!$I$27)</f>
        <v>14.132801004865874</v>
      </c>
      <c r="K31" s="253">
        <f>G9/('DCF Overview'!$I$22+'DCF Overview'!$I$27)</f>
        <v>14.549201773734209</v>
      </c>
      <c r="L31" s="252">
        <f>H9/('DCF Overview'!$I$22+'DCF Overview'!$I$27)</f>
        <v>14.965602542602539</v>
      </c>
    </row>
    <row r="32" spans="2:17" ht="15.75" x14ac:dyDescent="0.25">
      <c r="F32" s="500"/>
      <c r="G32" s="482">
        <f>C10</f>
        <v>8.9143302011801581E-2</v>
      </c>
      <c r="H32" s="252">
        <f>D10/('DCF Overview'!$I$22+'DCF Overview'!$I$27)</f>
        <v>13.062938315899078</v>
      </c>
      <c r="I32" s="253">
        <f>E10/('DCF Overview'!$I$22+'DCF Overview'!$I$27)</f>
        <v>13.470805739725098</v>
      </c>
      <c r="J32" s="251">
        <f>F10/('DCF Overview'!$I$22+'DCF Overview'!$I$27)</f>
        <v>13.878673163551113</v>
      </c>
      <c r="K32" s="253">
        <f>G10/('DCF Overview'!$I$22+'DCF Overview'!$I$27)</f>
        <v>14.286540587377132</v>
      </c>
      <c r="L32" s="252">
        <f>H10/('DCF Overview'!$I$22+'DCF Overview'!$I$27)</f>
        <v>14.694408011203148</v>
      </c>
    </row>
    <row r="33" spans="6:12" ht="15.75" x14ac:dyDescent="0.25">
      <c r="F33" s="500"/>
      <c r="G33" s="482">
        <f>C11</f>
        <v>9.4143302011801586E-2</v>
      </c>
      <c r="H33" s="252">
        <f>D11/('DCF Overview'!$I$22+'DCF Overview'!$I$27)</f>
        <v>12.83156005842754</v>
      </c>
      <c r="I33" s="253">
        <f>E11/('DCF Overview'!$I$22+'DCF Overview'!$I$27)</f>
        <v>13.231106902788257</v>
      </c>
      <c r="J33" s="253">
        <f>F11/('DCF Overview'!$I$22+'DCF Overview'!$I$27)</f>
        <v>13.630653747148973</v>
      </c>
      <c r="K33" s="253">
        <f>G11/('DCF Overview'!$I$22+'DCF Overview'!$I$27)</f>
        <v>14.03020059150969</v>
      </c>
      <c r="L33" s="252">
        <f>H11/('DCF Overview'!$I$22+'DCF Overview'!$I$27)</f>
        <v>14.429747435870405</v>
      </c>
    </row>
    <row r="34" spans="6:12" ht="15.75" x14ac:dyDescent="0.25">
      <c r="F34" s="500"/>
      <c r="G34" s="482">
        <f>C12</f>
        <v>9.914330201180159E-2</v>
      </c>
      <c r="H34" s="252">
        <f>D12/('DCF Overview'!$I$22+'DCF Overview'!$I$27)</f>
        <v>12.605701166818106</v>
      </c>
      <c r="I34" s="252">
        <f>E12/('DCF Overview'!$I$22+'DCF Overview'!$I$27)</f>
        <v>12.997133956104156</v>
      </c>
      <c r="J34" s="252">
        <f>F12/('DCF Overview'!$I$22+'DCF Overview'!$I$27)</f>
        <v>13.388566745390207</v>
      </c>
      <c r="K34" s="252">
        <f>G12/('DCF Overview'!$I$22+'DCF Overview'!$I$27)</f>
        <v>13.779999534676262</v>
      </c>
      <c r="L34" s="252">
        <f>H12/('DCF Overview'!$I$22+'DCF Overview'!$I$27)</f>
        <v>14.171432323962312</v>
      </c>
    </row>
  </sheetData>
  <mergeCells count="5">
    <mergeCell ref="K8:K12"/>
    <mergeCell ref="K19:K23"/>
    <mergeCell ref="B8:B12"/>
    <mergeCell ref="B19:B23"/>
    <mergeCell ref="F30:F34"/>
  </mergeCells>
  <pageMargins left="0.7" right="0.7"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89D4-9204-4578-A0C4-FCAE646197A4}">
  <dimension ref="B1:X20"/>
  <sheetViews>
    <sheetView showGridLines="0" zoomScale="90" zoomScaleNormal="90" workbookViewId="0"/>
  </sheetViews>
  <sheetFormatPr defaultColWidth="8.7109375" defaultRowHeight="15.75" x14ac:dyDescent="0.25"/>
  <cols>
    <col min="1" max="1" width="8.7109375" style="51"/>
    <col min="2" max="2" width="8.7109375" style="51" customWidth="1"/>
    <col min="3" max="3" width="4.5703125" style="51" customWidth="1"/>
    <col min="4" max="4" width="9.140625" style="51" bestFit="1" customWidth="1"/>
    <col min="5" max="5" width="4.5703125" style="51" customWidth="1"/>
    <col min="6" max="6" width="8.7109375" style="51"/>
    <col min="7" max="7" width="8.7109375" style="51" customWidth="1"/>
    <col min="8" max="8" width="8.7109375" style="51"/>
    <col min="9" max="9" width="4.5703125" style="51" customWidth="1"/>
    <col min="10" max="10" width="11.140625" style="51" customWidth="1"/>
    <col min="11" max="11" width="9.140625" style="51" bestFit="1" customWidth="1"/>
    <col min="12" max="12" width="12.42578125" style="51" customWidth="1"/>
    <col min="13" max="13" width="4.5703125" style="51" customWidth="1"/>
    <col min="14" max="14" width="10.5703125" style="51" customWidth="1"/>
    <col min="15" max="15" width="4.5703125" style="51" customWidth="1"/>
    <col min="16" max="16" width="14.28515625" style="51" customWidth="1"/>
    <col min="17" max="17" width="9.140625" style="51" bestFit="1" customWidth="1"/>
    <col min="18" max="18" width="13.85546875" style="51" customWidth="1"/>
    <col min="19" max="20" width="8.7109375" style="51"/>
    <col min="21" max="21" width="9.140625" style="51" bestFit="1" customWidth="1"/>
    <col min="22" max="22" width="8.7109375" style="51"/>
    <col min="23" max="23" width="9.140625" style="51" bestFit="1" customWidth="1"/>
    <col min="24" max="16384" width="8.7109375" style="51"/>
  </cols>
  <sheetData>
    <row r="1" spans="2:24" s="458" customFormat="1" x14ac:dyDescent="0.25"/>
    <row r="2" spans="2:24" s="458" customFormat="1" ht="34.5" x14ac:dyDescent="0.45">
      <c r="B2" s="423" t="s">
        <v>55</v>
      </c>
    </row>
    <row r="5" spans="2:24" x14ac:dyDescent="0.25">
      <c r="B5" s="501" t="s">
        <v>285</v>
      </c>
      <c r="C5" s="502"/>
      <c r="D5" s="502"/>
      <c r="E5" s="502"/>
      <c r="F5" s="502"/>
      <c r="G5" s="502"/>
      <c r="H5" s="502"/>
      <c r="I5" s="502"/>
      <c r="J5" s="502"/>
      <c r="K5" s="502"/>
      <c r="L5" s="502"/>
      <c r="M5" s="502"/>
      <c r="N5" s="502"/>
      <c r="O5" s="502"/>
      <c r="P5" s="502"/>
      <c r="Q5" s="502"/>
      <c r="R5" s="502"/>
    </row>
    <row r="6" spans="2:24" x14ac:dyDescent="0.25">
      <c r="B6" s="502"/>
      <c r="C6" s="502"/>
      <c r="D6" s="502"/>
      <c r="E6" s="502"/>
      <c r="F6" s="502"/>
      <c r="G6" s="502"/>
      <c r="H6" s="502"/>
      <c r="I6" s="502"/>
      <c r="J6" s="502"/>
      <c r="K6" s="502"/>
      <c r="L6" s="502"/>
      <c r="M6" s="502"/>
      <c r="N6" s="502"/>
      <c r="O6" s="502"/>
      <c r="P6" s="502"/>
      <c r="Q6" s="502"/>
      <c r="R6" s="502"/>
    </row>
    <row r="7" spans="2:24" x14ac:dyDescent="0.25">
      <c r="B7" s="405" t="s">
        <v>56</v>
      </c>
      <c r="C7" s="458"/>
      <c r="D7" s="405" t="s">
        <v>277</v>
      </c>
      <c r="E7" s="458"/>
      <c r="F7" s="424" t="s">
        <v>57</v>
      </c>
      <c r="G7" s="460"/>
      <c r="H7" s="460"/>
      <c r="I7" s="458"/>
      <c r="J7" s="424" t="s">
        <v>58</v>
      </c>
      <c r="K7" s="459"/>
      <c r="L7" s="459"/>
      <c r="M7" s="458"/>
      <c r="N7" s="405" t="s">
        <v>59</v>
      </c>
      <c r="O7" s="458"/>
      <c r="P7" s="424" t="s">
        <v>39</v>
      </c>
      <c r="Q7" s="424"/>
      <c r="R7" s="424"/>
    </row>
    <row r="8" spans="2:24" x14ac:dyDescent="0.25">
      <c r="B8" s="68" t="s">
        <v>60</v>
      </c>
      <c r="D8" s="366">
        <f>'Comparable Companies'!Q7</f>
        <v>1576</v>
      </c>
      <c r="F8" s="426">
        <v>11.5</v>
      </c>
      <c r="G8" s="68" t="s">
        <v>61</v>
      </c>
      <c r="H8" s="426">
        <v>13.5</v>
      </c>
      <c r="J8" s="366">
        <f>F8*D8</f>
        <v>18124</v>
      </c>
      <c r="K8" s="68" t="s">
        <v>61</v>
      </c>
      <c r="L8" s="366">
        <f>H8*D8</f>
        <v>21276</v>
      </c>
      <c r="N8" s="366">
        <f>'Comparable Companies'!$J$7</f>
        <v>5212</v>
      </c>
      <c r="P8" s="366">
        <f>J8-N8</f>
        <v>12912</v>
      </c>
      <c r="Q8" s="68" t="s">
        <v>61</v>
      </c>
      <c r="R8" s="366">
        <f>L8-N8</f>
        <v>16064</v>
      </c>
    </row>
    <row r="9" spans="2:24" x14ac:dyDescent="0.25">
      <c r="B9" s="68">
        <v>2022</v>
      </c>
      <c r="D9" s="366">
        <f>'Comparable Companies'!AD7</f>
        <v>1421</v>
      </c>
      <c r="F9" s="426">
        <v>13</v>
      </c>
      <c r="G9" s="68" t="s">
        <v>61</v>
      </c>
      <c r="H9" s="426">
        <v>14</v>
      </c>
      <c r="J9" s="366">
        <f>F9*D9</f>
        <v>18473</v>
      </c>
      <c r="K9" s="68" t="s">
        <v>61</v>
      </c>
      <c r="L9" s="366">
        <f>H9*D9</f>
        <v>19894</v>
      </c>
      <c r="N9" s="366">
        <f>'Comparable Companies'!$J$7</f>
        <v>5212</v>
      </c>
      <c r="P9" s="366">
        <f>J9-N9</f>
        <v>13261</v>
      </c>
      <c r="Q9" s="68" t="s">
        <v>61</v>
      </c>
      <c r="R9" s="366">
        <f>L9-N9</f>
        <v>14682</v>
      </c>
    </row>
    <row r="10" spans="2:24" x14ac:dyDescent="0.25">
      <c r="B10" s="68">
        <v>2021</v>
      </c>
      <c r="D10" s="366">
        <f>'Comparable Companies'!AE7</f>
        <v>1477</v>
      </c>
      <c r="F10" s="426">
        <v>12.7</v>
      </c>
      <c r="G10" s="68" t="s">
        <v>61</v>
      </c>
      <c r="H10" s="426">
        <v>13.4</v>
      </c>
      <c r="J10" s="366">
        <f>F10*D10</f>
        <v>18757.899999999998</v>
      </c>
      <c r="K10" s="68" t="s">
        <v>61</v>
      </c>
      <c r="L10" s="366">
        <f>H10*D10</f>
        <v>19791.8</v>
      </c>
      <c r="N10" s="366">
        <f>'Comparable Companies'!$J$7</f>
        <v>5212</v>
      </c>
      <c r="P10" s="366">
        <f>J10-N10</f>
        <v>13545.899999999998</v>
      </c>
      <c r="Q10" s="68" t="s">
        <v>61</v>
      </c>
      <c r="R10" s="366">
        <f>L10-N10</f>
        <v>14579.8</v>
      </c>
    </row>
    <row r="11" spans="2:24" x14ac:dyDescent="0.25">
      <c r="B11" s="405" t="s">
        <v>278</v>
      </c>
      <c r="C11" s="458"/>
      <c r="D11" s="405" t="s">
        <v>279</v>
      </c>
      <c r="E11" s="458"/>
      <c r="F11" s="424"/>
      <c r="G11" s="460"/>
      <c r="H11" s="460"/>
      <c r="I11" s="458"/>
      <c r="J11" s="424"/>
      <c r="K11" s="459"/>
      <c r="L11" s="459"/>
      <c r="M11" s="458"/>
      <c r="N11" s="405"/>
      <c r="O11" s="458"/>
      <c r="P11" s="424"/>
      <c r="Q11" s="424"/>
      <c r="R11" s="424"/>
    </row>
    <row r="12" spans="2:24" x14ac:dyDescent="0.25">
      <c r="B12" s="68" t="s">
        <v>60</v>
      </c>
      <c r="D12" s="366">
        <f>'Comparable Companies'!R7</f>
        <v>1088</v>
      </c>
      <c r="F12" s="426">
        <v>17</v>
      </c>
      <c r="G12" s="68" t="s">
        <v>61</v>
      </c>
      <c r="H12" s="426">
        <v>19</v>
      </c>
      <c r="J12" s="366">
        <f>F12*D12</f>
        <v>18496</v>
      </c>
      <c r="K12" s="68" t="s">
        <v>61</v>
      </c>
      <c r="L12" s="366">
        <f>H12*D12</f>
        <v>20672</v>
      </c>
      <c r="N12" s="366">
        <f>'Comparable Companies'!$J$7</f>
        <v>5212</v>
      </c>
      <c r="P12" s="366">
        <f>J12-N12</f>
        <v>13284</v>
      </c>
      <c r="Q12" s="68" t="s">
        <v>61</v>
      </c>
      <c r="R12" s="366">
        <f>L12-N12</f>
        <v>15460</v>
      </c>
      <c r="T12" s="474"/>
      <c r="U12" s="489" t="s">
        <v>174</v>
      </c>
      <c r="V12" s="490" t="s">
        <v>284</v>
      </c>
      <c r="W12" s="489" t="s">
        <v>175</v>
      </c>
      <c r="X12" s="61"/>
    </row>
    <row r="13" spans="2:24" x14ac:dyDescent="0.25">
      <c r="B13" s="405" t="s">
        <v>280</v>
      </c>
      <c r="C13" s="458"/>
      <c r="D13" s="405" t="s">
        <v>281</v>
      </c>
      <c r="E13" s="458"/>
      <c r="F13" s="424"/>
      <c r="G13" s="460"/>
      <c r="H13" s="460"/>
      <c r="I13" s="458"/>
      <c r="J13" s="424"/>
      <c r="K13" s="459"/>
      <c r="L13" s="459"/>
      <c r="M13" s="458"/>
      <c r="N13" s="405"/>
      <c r="O13" s="458"/>
      <c r="P13" s="424"/>
      <c r="Q13" s="424"/>
      <c r="R13" s="424"/>
      <c r="T13" s="474" t="s">
        <v>283</v>
      </c>
      <c r="U13" s="475">
        <f>J14</f>
        <v>18186</v>
      </c>
      <c r="V13" s="490">
        <f t="shared" ref="V13:V18" si="0">W13-U13</f>
        <v>4546.5</v>
      </c>
      <c r="W13" s="475">
        <f>L14</f>
        <v>22732.5</v>
      </c>
    </row>
    <row r="14" spans="2:24" x14ac:dyDescent="0.25">
      <c r="B14" s="68" t="s">
        <v>60</v>
      </c>
      <c r="D14" s="366">
        <f>'Comparable Companies'!O7</f>
        <v>15155</v>
      </c>
      <c r="F14" s="426">
        <v>1.2</v>
      </c>
      <c r="G14" s="68" t="s">
        <v>61</v>
      </c>
      <c r="H14" s="426">
        <v>1.5</v>
      </c>
      <c r="J14" s="366">
        <f>F14*D14</f>
        <v>18186</v>
      </c>
      <c r="K14" s="68" t="s">
        <v>61</v>
      </c>
      <c r="L14" s="366">
        <f>H14*D14</f>
        <v>22732.5</v>
      </c>
      <c r="N14" s="366">
        <f>'Comparable Companies'!$J$7</f>
        <v>5212</v>
      </c>
      <c r="P14" s="366">
        <f>J14-N14</f>
        <v>12974</v>
      </c>
      <c r="Q14" s="68" t="s">
        <v>61</v>
      </c>
      <c r="R14" s="366">
        <f>L14-N14</f>
        <v>17520.5</v>
      </c>
      <c r="T14" s="474" t="s">
        <v>282</v>
      </c>
      <c r="U14" s="475">
        <f>J12</f>
        <v>18496</v>
      </c>
      <c r="V14" s="490">
        <f t="shared" si="0"/>
        <v>2176</v>
      </c>
      <c r="W14" s="475">
        <f>L12</f>
        <v>20672</v>
      </c>
    </row>
    <row r="15" spans="2:24" x14ac:dyDescent="0.25">
      <c r="T15" s="474" t="s">
        <v>133</v>
      </c>
      <c r="U15" s="475">
        <f>J10</f>
        <v>18757.899999999998</v>
      </c>
      <c r="V15" s="490">
        <f t="shared" si="0"/>
        <v>1033.9000000000015</v>
      </c>
      <c r="W15" s="475">
        <f>L10</f>
        <v>19791.8</v>
      </c>
    </row>
    <row r="16" spans="2:24" x14ac:dyDescent="0.25">
      <c r="B16" s="69" t="s">
        <v>286</v>
      </c>
      <c r="C16" s="52"/>
      <c r="D16" s="52"/>
      <c r="E16" s="52"/>
      <c r="F16" s="52"/>
      <c r="G16" s="52"/>
      <c r="H16" s="52"/>
      <c r="I16" s="52"/>
      <c r="J16" s="385">
        <f>MEDIAN(J14,J12,J8:J10)</f>
        <v>18473</v>
      </c>
      <c r="K16" s="385" t="s">
        <v>61</v>
      </c>
      <c r="L16" s="385">
        <f t="shared" ref="L16:R16" si="1">MEDIAN(L14,L12,L8:L10)</f>
        <v>20672</v>
      </c>
      <c r="M16" s="385"/>
      <c r="N16" s="385"/>
      <c r="O16" s="385"/>
      <c r="P16" s="385">
        <f t="shared" si="1"/>
        <v>13261</v>
      </c>
      <c r="Q16" s="385" t="s">
        <v>61</v>
      </c>
      <c r="R16" s="385">
        <f t="shared" si="1"/>
        <v>15460</v>
      </c>
      <c r="T16" s="474" t="s">
        <v>132</v>
      </c>
      <c r="U16" s="475">
        <f>J9</f>
        <v>18473</v>
      </c>
      <c r="V16" s="490">
        <f t="shared" si="0"/>
        <v>1421</v>
      </c>
      <c r="W16" s="475">
        <f>L9</f>
        <v>19894</v>
      </c>
    </row>
    <row r="17" spans="2:23" x14ac:dyDescent="0.25">
      <c r="B17" s="485" t="s">
        <v>287</v>
      </c>
      <c r="C17" s="486"/>
      <c r="D17" s="486"/>
      <c r="E17" s="486"/>
      <c r="F17" s="486"/>
      <c r="G17" s="486"/>
      <c r="H17" s="486"/>
      <c r="I17" s="486"/>
      <c r="J17" s="487">
        <f>AVERAGE(J14,J12,J8:J10)</f>
        <v>18407.379999999997</v>
      </c>
      <c r="K17" s="487" t="s">
        <v>61</v>
      </c>
      <c r="L17" s="487">
        <f t="shared" ref="L17:R17" si="2">AVERAGE(L14,L12,L8:L10)</f>
        <v>20873.260000000002</v>
      </c>
      <c r="M17" s="487"/>
      <c r="N17" s="487"/>
      <c r="O17" s="487"/>
      <c r="P17" s="487">
        <f t="shared" si="2"/>
        <v>13195.38</v>
      </c>
      <c r="Q17" s="487" t="s">
        <v>61</v>
      </c>
      <c r="R17" s="487">
        <f t="shared" si="2"/>
        <v>15661.26</v>
      </c>
      <c r="T17" s="474" t="s">
        <v>45</v>
      </c>
      <c r="U17" s="475">
        <f>J8</f>
        <v>18124</v>
      </c>
      <c r="V17" s="490">
        <f t="shared" si="0"/>
        <v>3152</v>
      </c>
      <c r="W17" s="475">
        <f>L8</f>
        <v>21276</v>
      </c>
    </row>
    <row r="18" spans="2:23" x14ac:dyDescent="0.25">
      <c r="T18" s="474" t="s">
        <v>288</v>
      </c>
      <c r="U18" s="491">
        <f>J16</f>
        <v>18473</v>
      </c>
      <c r="V18" s="490">
        <f t="shared" si="0"/>
        <v>2199</v>
      </c>
      <c r="W18" s="491">
        <f>L16</f>
        <v>20672</v>
      </c>
    </row>
    <row r="19" spans="2:23" x14ac:dyDescent="0.25">
      <c r="B19" s="62" t="s">
        <v>289</v>
      </c>
      <c r="C19" s="63"/>
      <c r="D19" s="63"/>
      <c r="E19" s="63"/>
      <c r="F19" s="63"/>
      <c r="G19" s="63"/>
      <c r="H19" s="63"/>
      <c r="I19" s="63"/>
      <c r="J19" s="63"/>
      <c r="K19" s="488">
        <f>AVERAGE(MEDIAN(L16:L17),MEDIAN(J16:J17))</f>
        <v>19606.41</v>
      </c>
      <c r="L19" s="63"/>
      <c r="M19" s="63"/>
      <c r="N19" s="63"/>
      <c r="O19" s="63"/>
      <c r="P19" s="63"/>
      <c r="Q19" s="488">
        <f>AVERAGE(MEDIAN(R16:R17),MEDIAN(P16:P17))</f>
        <v>14394.41</v>
      </c>
      <c r="R19" s="63"/>
    </row>
    <row r="20" spans="2:23" x14ac:dyDescent="0.25">
      <c r="U20" s="484"/>
      <c r="V20" s="484"/>
      <c r="W20" s="484"/>
    </row>
  </sheetData>
  <mergeCells count="1">
    <mergeCell ref="B5:R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DE906-1DED-4558-9FDA-B5C414D857B7}">
  <sheetPr>
    <pageSetUpPr fitToPage="1"/>
  </sheetPr>
  <dimension ref="A1:AY39"/>
  <sheetViews>
    <sheetView showGridLines="0" zoomScale="80" zoomScaleNormal="80" workbookViewId="0"/>
  </sheetViews>
  <sheetFormatPr defaultColWidth="8.85546875" defaultRowHeight="15" x14ac:dyDescent="0.25"/>
  <cols>
    <col min="1" max="1" width="32.7109375" customWidth="1"/>
    <col min="4" max="4" width="9.28515625" customWidth="1"/>
    <col min="5" max="5" width="9.85546875" customWidth="1"/>
    <col min="6" max="6" width="19.140625" bestFit="1" customWidth="1"/>
    <col min="7" max="7" width="20.85546875" bestFit="1" customWidth="1"/>
    <col min="8" max="8" width="17.42578125" bestFit="1" customWidth="1"/>
    <col min="9" max="9" width="9.42578125" bestFit="1" customWidth="1"/>
    <col min="10" max="10" width="9.42578125" customWidth="1"/>
    <col min="11" max="11" width="11" customWidth="1"/>
    <col min="12" max="12" width="14" customWidth="1"/>
    <col min="13" max="13" width="12.140625" customWidth="1"/>
    <col min="15" max="15" width="9.42578125" bestFit="1" customWidth="1"/>
    <col min="16" max="16" width="9.42578125" customWidth="1"/>
    <col min="17" max="17" width="10.7109375" customWidth="1"/>
    <col min="18" max="18" width="9.140625" bestFit="1" customWidth="1"/>
    <col min="19" max="19" width="9.140625" customWidth="1"/>
    <col min="21" max="21" width="7" customWidth="1"/>
    <col min="22" max="22" width="9.7109375" customWidth="1"/>
    <col min="23" max="23" width="7.7109375" bestFit="1" customWidth="1"/>
    <col min="24" max="24" width="8" bestFit="1" customWidth="1"/>
    <col min="26" max="26" width="7.85546875" bestFit="1" customWidth="1"/>
    <col min="27" max="27" width="10.140625" bestFit="1" customWidth="1"/>
    <col min="28" max="28" width="7.5703125" customWidth="1"/>
    <col min="29" max="29" width="9.85546875" customWidth="1"/>
    <col min="30" max="30" width="10.140625" bestFit="1" customWidth="1"/>
    <col min="31" max="31" width="11.42578125" bestFit="1" customWidth="1"/>
  </cols>
  <sheetData>
    <row r="1" spans="1:51" x14ac:dyDescent="0.2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row>
    <row r="2" spans="1:51" ht="27" x14ac:dyDescent="0.35">
      <c r="A2" s="299" t="s">
        <v>116</v>
      </c>
      <c r="B2" s="300"/>
      <c r="C2" s="300"/>
      <c r="D2" s="300"/>
      <c r="E2" s="300"/>
      <c r="F2" s="300"/>
      <c r="G2" s="301"/>
      <c r="H2" s="301"/>
      <c r="I2" s="302"/>
      <c r="J2" s="301"/>
      <c r="K2" s="301"/>
      <c r="L2" s="302"/>
      <c r="M2" s="303"/>
      <c r="N2" s="300"/>
      <c r="O2" s="304"/>
      <c r="P2" s="304"/>
      <c r="Q2" s="304"/>
      <c r="R2" s="304"/>
      <c r="S2" s="304"/>
      <c r="T2" s="300"/>
      <c r="U2" s="305"/>
      <c r="V2" s="305"/>
      <c r="W2" s="305"/>
      <c r="X2" s="305"/>
      <c r="Y2" s="300"/>
      <c r="Z2" s="305"/>
      <c r="AA2" s="305"/>
      <c r="AB2" s="305"/>
      <c r="AC2" s="232"/>
      <c r="AD2" s="232"/>
      <c r="AE2" s="232"/>
      <c r="AF2" s="232"/>
      <c r="AG2" s="232"/>
      <c r="AH2" s="232"/>
      <c r="AI2" s="232"/>
      <c r="AJ2" s="232"/>
      <c r="AK2" s="232"/>
    </row>
    <row r="3" spans="1:51" ht="15.75" x14ac:dyDescent="0.25">
      <c r="A3" s="51"/>
      <c r="B3" s="51"/>
      <c r="C3" s="51"/>
      <c r="D3" s="51"/>
      <c r="E3" s="51"/>
      <c r="F3" s="51"/>
      <c r="G3" s="50"/>
      <c r="H3" s="50"/>
      <c r="I3" s="100"/>
      <c r="J3" s="50"/>
      <c r="K3" s="50"/>
      <c r="L3" s="100"/>
      <c r="M3" s="101"/>
      <c r="N3" s="51"/>
      <c r="O3" s="102"/>
      <c r="P3" s="102"/>
      <c r="Q3" s="102"/>
      <c r="R3" s="102"/>
      <c r="S3" s="102"/>
      <c r="T3" s="51"/>
      <c r="U3" s="103"/>
      <c r="V3" s="103"/>
      <c r="W3" s="103"/>
      <c r="X3" s="103"/>
      <c r="Y3" s="51"/>
      <c r="Z3" s="103"/>
      <c r="AA3" s="103"/>
      <c r="AB3" s="103"/>
    </row>
    <row r="4" spans="1:51" ht="15.75" x14ac:dyDescent="0.25">
      <c r="A4" s="431"/>
      <c r="B4" s="307"/>
      <c r="C4" s="307"/>
      <c r="D4" s="307"/>
      <c r="E4" s="432"/>
      <c r="F4" s="307"/>
      <c r="G4" s="145" t="s">
        <v>117</v>
      </c>
      <c r="H4" s="145"/>
      <c r="I4" s="146"/>
      <c r="J4" s="145"/>
      <c r="K4" s="145"/>
      <c r="L4" s="146"/>
      <c r="M4" s="147"/>
      <c r="N4" s="306"/>
      <c r="O4" s="148" t="s">
        <v>118</v>
      </c>
      <c r="P4" s="148"/>
      <c r="Q4" s="148"/>
      <c r="R4" s="148"/>
      <c r="S4" s="148"/>
      <c r="T4" s="306"/>
      <c r="U4" s="149" t="s">
        <v>119</v>
      </c>
      <c r="V4" s="149"/>
      <c r="W4" s="149"/>
      <c r="X4" s="149"/>
      <c r="Y4" s="306"/>
      <c r="Z4" s="149" t="s">
        <v>120</v>
      </c>
      <c r="AA4" s="149"/>
      <c r="AB4" s="149"/>
      <c r="AD4" s="424" t="s">
        <v>56</v>
      </c>
      <c r="AE4" s="343"/>
      <c r="AG4" s="424" t="s">
        <v>121</v>
      </c>
      <c r="AH4" s="343"/>
      <c r="AI4" s="343"/>
      <c r="AJ4" s="343"/>
      <c r="AK4" s="343"/>
    </row>
    <row r="5" spans="1:51" ht="57" x14ac:dyDescent="0.25">
      <c r="A5" s="51"/>
      <c r="B5" s="51"/>
      <c r="C5" s="51"/>
      <c r="D5" s="51"/>
      <c r="E5" s="51"/>
      <c r="F5" s="51"/>
      <c r="G5" s="436" t="s">
        <v>122</v>
      </c>
      <c r="H5" s="436" t="s">
        <v>28</v>
      </c>
      <c r="I5" s="437" t="s">
        <v>123</v>
      </c>
      <c r="J5" s="438" t="s">
        <v>124</v>
      </c>
      <c r="K5" s="438" t="s">
        <v>70</v>
      </c>
      <c r="L5" s="439" t="s">
        <v>71</v>
      </c>
      <c r="M5" s="440" t="s">
        <v>72</v>
      </c>
      <c r="N5" s="498"/>
      <c r="O5" s="441" t="s">
        <v>4</v>
      </c>
      <c r="P5" s="441" t="s">
        <v>8</v>
      </c>
      <c r="Q5" s="441" t="s">
        <v>56</v>
      </c>
      <c r="R5" s="441" t="s">
        <v>125</v>
      </c>
      <c r="S5" s="441" t="s">
        <v>126</v>
      </c>
      <c r="T5" s="442"/>
      <c r="U5" s="443" t="s">
        <v>127</v>
      </c>
      <c r="V5" s="443" t="s">
        <v>128</v>
      </c>
      <c r="W5" s="443" t="s">
        <v>129</v>
      </c>
      <c r="X5" s="443" t="s">
        <v>130</v>
      </c>
      <c r="Y5" s="442"/>
      <c r="Z5" s="443" t="s">
        <v>4</v>
      </c>
      <c r="AA5" s="443" t="s">
        <v>56</v>
      </c>
      <c r="AB5" s="443" t="s">
        <v>131</v>
      </c>
      <c r="AD5" s="441" t="s">
        <v>132</v>
      </c>
      <c r="AE5" s="441" t="s">
        <v>133</v>
      </c>
      <c r="AG5" s="444" t="s">
        <v>134</v>
      </c>
      <c r="AH5" s="441" t="s">
        <v>135</v>
      </c>
      <c r="AI5" s="441" t="s">
        <v>136</v>
      </c>
      <c r="AJ5" s="455" t="s">
        <v>137</v>
      </c>
      <c r="AK5" s="455" t="s">
        <v>138</v>
      </c>
    </row>
    <row r="6" spans="1:51" ht="15.75" x14ac:dyDescent="0.25">
      <c r="A6" s="104" t="s">
        <v>139</v>
      </c>
      <c r="B6" s="104"/>
      <c r="C6" s="104"/>
      <c r="D6" s="106" t="s">
        <v>140</v>
      </c>
      <c r="E6" s="106" t="s">
        <v>141</v>
      </c>
      <c r="F6" s="106"/>
      <c r="G6" s="140"/>
      <c r="H6" s="140"/>
      <c r="I6" s="141"/>
      <c r="J6" s="140"/>
      <c r="K6" s="140"/>
      <c r="L6" s="142"/>
      <c r="M6" s="143"/>
      <c r="N6" s="144"/>
      <c r="O6" s="140"/>
      <c r="P6" s="140"/>
      <c r="Q6" s="140"/>
      <c r="R6" s="140"/>
      <c r="S6" s="140"/>
      <c r="T6" s="105"/>
      <c r="U6" s="107"/>
      <c r="V6" s="107"/>
      <c r="W6" s="107"/>
      <c r="X6" s="107"/>
      <c r="Y6" s="105"/>
      <c r="Z6" s="107"/>
      <c r="AA6" s="107"/>
      <c r="AB6" s="107"/>
    </row>
    <row r="7" spans="1:51" ht="15.75" x14ac:dyDescent="0.25">
      <c r="A7" s="336" t="s">
        <v>142</v>
      </c>
      <c r="B7" s="336"/>
      <c r="C7" s="336"/>
      <c r="D7" s="336"/>
      <c r="E7" s="219" t="s">
        <v>143</v>
      </c>
      <c r="F7" s="219" t="s">
        <v>144</v>
      </c>
      <c r="G7" s="53">
        <v>15333.3</v>
      </c>
      <c r="H7" s="53">
        <v>19852</v>
      </c>
      <c r="I7" s="220">
        <v>0.82764846086502075</v>
      </c>
      <c r="J7" s="53">
        <v>5212</v>
      </c>
      <c r="K7" s="53">
        <v>4203</v>
      </c>
      <c r="L7" s="220">
        <f>J7/K7</f>
        <v>1.2400666190816083</v>
      </c>
      <c r="M7" s="221">
        <v>0.21</v>
      </c>
      <c r="N7" s="222"/>
      <c r="O7" s="223">
        <v>15155</v>
      </c>
      <c r="P7" s="223">
        <v>2084</v>
      </c>
      <c r="Q7" s="223">
        <v>1576</v>
      </c>
      <c r="R7" s="223">
        <v>1088</v>
      </c>
      <c r="S7" s="223">
        <v>685</v>
      </c>
      <c r="T7" s="222"/>
      <c r="U7" s="221">
        <v>0.13751237215440448</v>
      </c>
      <c r="V7" s="221">
        <v>0.10399208182118112</v>
      </c>
      <c r="W7" s="221">
        <v>7.1791487957769712E-2</v>
      </c>
      <c r="X7" s="221">
        <v>4.5199604091059054E-2</v>
      </c>
      <c r="Y7" s="222"/>
      <c r="Z7" s="221">
        <v>4.7972628667103445E-2</v>
      </c>
      <c r="AA7" s="221">
        <v>-0.3977512297962052</v>
      </c>
      <c r="AB7" s="221">
        <v>-6.3700000000000007E-2</v>
      </c>
      <c r="AC7" s="335"/>
      <c r="AD7" s="464">
        <v>1421</v>
      </c>
      <c r="AE7" s="373">
        <v>1477</v>
      </c>
      <c r="AF7" s="335"/>
      <c r="AG7" s="341">
        <f>H7/Q7</f>
        <v>12.596446700507615</v>
      </c>
      <c r="AH7" s="341">
        <f>H7/AD7</f>
        <v>13.970443349753694</v>
      </c>
      <c r="AI7" s="341">
        <f>H7/AE7</f>
        <v>13.440758293838863</v>
      </c>
      <c r="AJ7" s="341">
        <f>H7/R7</f>
        <v>18.246323529411764</v>
      </c>
      <c r="AK7" s="457">
        <f>H7/O7</f>
        <v>1.3099307159353348</v>
      </c>
    </row>
    <row r="8" spans="1:51" ht="15.75" x14ac:dyDescent="0.25">
      <c r="A8" s="79"/>
      <c r="B8" s="79"/>
      <c r="C8" s="79"/>
      <c r="D8" s="79"/>
      <c r="E8" s="78"/>
      <c r="F8" s="78"/>
      <c r="G8" s="54"/>
      <c r="H8" s="54"/>
      <c r="I8" s="108"/>
      <c r="J8" s="54"/>
      <c r="K8" s="133"/>
      <c r="L8" s="108"/>
      <c r="M8" s="110"/>
      <c r="N8" s="68"/>
      <c r="O8" s="109"/>
      <c r="P8" s="109"/>
      <c r="Q8" s="109"/>
      <c r="R8" s="109"/>
      <c r="S8" s="109"/>
      <c r="T8" s="68"/>
      <c r="U8" s="110"/>
      <c r="V8" s="110"/>
      <c r="W8" s="110"/>
      <c r="X8" s="110"/>
      <c r="Y8" s="68"/>
      <c r="Z8" s="112"/>
      <c r="AA8" s="112"/>
      <c r="AB8" s="112"/>
      <c r="AD8" s="425"/>
      <c r="AE8" s="425"/>
      <c r="AG8" s="428"/>
    </row>
    <row r="9" spans="1:51" ht="15.75" x14ac:dyDescent="0.25">
      <c r="A9" s="150" t="s">
        <v>145</v>
      </c>
      <c r="B9" s="150"/>
      <c r="C9" s="150"/>
      <c r="D9" s="338">
        <v>0.6</v>
      </c>
      <c r="E9" s="150"/>
      <c r="F9" s="150"/>
      <c r="G9" s="151"/>
      <c r="H9" s="151"/>
      <c r="I9" s="152"/>
      <c r="J9" s="151"/>
      <c r="K9" s="151"/>
      <c r="L9" s="152"/>
      <c r="M9" s="217"/>
      <c r="N9" s="150"/>
      <c r="O9" s="154"/>
      <c r="P9" s="154"/>
      <c r="Q9" s="154"/>
      <c r="R9" s="154"/>
      <c r="S9" s="154"/>
      <c r="T9" s="150"/>
      <c r="U9" s="155"/>
      <c r="V9" s="155"/>
      <c r="W9" s="155"/>
      <c r="X9" s="155"/>
      <c r="Y9" s="150"/>
      <c r="Z9" s="153"/>
      <c r="AA9" s="153"/>
      <c r="AB9" s="153"/>
      <c r="AC9" s="232"/>
      <c r="AD9" s="452"/>
      <c r="AE9" s="452"/>
      <c r="AF9" s="232"/>
      <c r="AG9" s="427"/>
      <c r="AH9" s="232"/>
      <c r="AI9" s="232"/>
      <c r="AJ9" s="232"/>
      <c r="AK9" s="232"/>
    </row>
    <row r="10" spans="1:51" ht="15.75" x14ac:dyDescent="0.25">
      <c r="A10" s="113" t="s">
        <v>146</v>
      </c>
      <c r="B10" s="113"/>
      <c r="C10" s="113"/>
      <c r="D10" s="337">
        <f>D9/3</f>
        <v>0.19999999999999998</v>
      </c>
      <c r="E10" s="68" t="s">
        <v>147</v>
      </c>
      <c r="F10" s="68" t="s">
        <v>148</v>
      </c>
      <c r="G10" s="366">
        <v>6813.4</v>
      </c>
      <c r="H10" s="366">
        <v>8897.4</v>
      </c>
      <c r="I10" s="108">
        <v>0.78200000000000003</v>
      </c>
      <c r="J10" s="366">
        <v>2395</v>
      </c>
      <c r="K10" s="366">
        <v>1704</v>
      </c>
      <c r="L10" s="108">
        <v>1.4055164319248827</v>
      </c>
      <c r="M10" s="110">
        <v>0.21</v>
      </c>
      <c r="N10" s="114"/>
      <c r="O10" s="392">
        <v>7675</v>
      </c>
      <c r="P10" s="392">
        <v>902</v>
      </c>
      <c r="Q10" s="392">
        <v>704</v>
      </c>
      <c r="R10" s="392">
        <v>559</v>
      </c>
      <c r="S10" s="392">
        <v>338.5</v>
      </c>
      <c r="T10" s="114"/>
      <c r="U10" s="115">
        <v>0.11749999999999999</v>
      </c>
      <c r="V10" s="115">
        <v>9.1700000000000004E-2</v>
      </c>
      <c r="W10" s="115">
        <v>7.2833876221498367E-2</v>
      </c>
      <c r="X10" s="115">
        <v>4.4104234527687296E-2</v>
      </c>
      <c r="Y10" s="114"/>
      <c r="Z10" s="115">
        <v>4.1925885853394629E-2</v>
      </c>
      <c r="AA10" s="115">
        <v>-3.4883720930232509E-2</v>
      </c>
      <c r="AB10" s="115">
        <v>0.1073170731707318</v>
      </c>
      <c r="AD10" s="366">
        <v>774</v>
      </c>
      <c r="AE10" s="366">
        <v>699</v>
      </c>
      <c r="AG10" s="426">
        <f>H10/Q10</f>
        <v>12.638352272727273</v>
      </c>
      <c r="AH10" s="426">
        <f>H10/AD10</f>
        <v>11.495348837209303</v>
      </c>
      <c r="AI10" s="426">
        <f>H10/AE10</f>
        <v>12.728755364806867</v>
      </c>
      <c r="AJ10" s="426">
        <f>H10/R10</f>
        <v>15.916636851520572</v>
      </c>
      <c r="AK10" s="456">
        <f>H10/O10</f>
        <v>1.159270358306189</v>
      </c>
      <c r="AL10" s="109"/>
      <c r="AM10" s="109"/>
      <c r="AN10" s="109"/>
      <c r="AO10" s="109"/>
      <c r="AP10" s="109"/>
      <c r="AQ10" s="114"/>
      <c r="AR10" s="115"/>
      <c r="AS10" s="115"/>
      <c r="AT10" s="115"/>
      <c r="AU10" s="115"/>
      <c r="AV10" s="114"/>
      <c r="AW10" s="115"/>
      <c r="AX10" s="115"/>
      <c r="AY10" s="115"/>
    </row>
    <row r="11" spans="1:51" ht="15.75" x14ac:dyDescent="0.25">
      <c r="A11" s="113" t="s">
        <v>149</v>
      </c>
      <c r="B11" s="113"/>
      <c r="C11" s="113"/>
      <c r="D11" s="337">
        <f>D9/3</f>
        <v>0.19999999999999998</v>
      </c>
      <c r="E11" s="68" t="s">
        <v>150</v>
      </c>
      <c r="F11" s="68" t="s">
        <v>151</v>
      </c>
      <c r="G11" s="366">
        <v>16038</v>
      </c>
      <c r="H11" s="366">
        <v>19164.849710440001</v>
      </c>
      <c r="I11" s="108">
        <v>0.82775592803955078</v>
      </c>
      <c r="J11" s="366">
        <v>3061.527</v>
      </c>
      <c r="K11" s="366">
        <v>992.00200000000007</v>
      </c>
      <c r="L11" s="108">
        <v>3.0862105116723555</v>
      </c>
      <c r="M11" s="110">
        <v>0.21</v>
      </c>
      <c r="N11" s="114"/>
      <c r="O11" s="392">
        <v>10031.103000000001</v>
      </c>
      <c r="P11" s="392">
        <v>4954.1009999999997</v>
      </c>
      <c r="Q11" s="392">
        <v>680.952</v>
      </c>
      <c r="R11" s="392">
        <v>446.84800000000001</v>
      </c>
      <c r="S11" s="392">
        <v>271.791</v>
      </c>
      <c r="T11" s="114"/>
      <c r="U11" s="115">
        <v>0.49387400368633433</v>
      </c>
      <c r="V11" s="115">
        <v>6.7884060207536498E-2</v>
      </c>
      <c r="W11" s="115">
        <v>4.4546247805450703E-2</v>
      </c>
      <c r="X11" s="115">
        <v>2.7094826959707219E-2</v>
      </c>
      <c r="Y11" s="114"/>
      <c r="Z11" s="115">
        <v>0.10703528342719122</v>
      </c>
      <c r="AA11" s="115">
        <v>-0.25103385951298096</v>
      </c>
      <c r="AB11" s="115">
        <v>0.11380000000000001</v>
      </c>
      <c r="AD11" s="366">
        <v>836</v>
      </c>
      <c r="AE11" s="366">
        <v>843</v>
      </c>
      <c r="AG11" s="426">
        <f>H11/Q11</f>
        <v>28.144200634464692</v>
      </c>
      <c r="AH11" s="426">
        <f>H11/AD11</f>
        <v>22.924461376124402</v>
      </c>
      <c r="AI11" s="426">
        <f>H11/AE11</f>
        <v>22.734104045599054</v>
      </c>
      <c r="AJ11" s="426">
        <f>H11/R11</f>
        <v>42.88896830788098</v>
      </c>
      <c r="AK11" s="456">
        <f>H11/O11</f>
        <v>1.9105426103629879</v>
      </c>
      <c r="AL11" s="109"/>
      <c r="AM11" s="109"/>
      <c r="AN11" s="109"/>
      <c r="AO11" s="109"/>
      <c r="AP11" s="109"/>
      <c r="AQ11" s="114"/>
      <c r="AR11" s="115"/>
      <c r="AS11" s="115"/>
      <c r="AT11" s="115"/>
      <c r="AU11" s="115"/>
      <c r="AV11" s="114"/>
      <c r="AW11" s="115"/>
      <c r="AX11" s="115"/>
      <c r="AY11" s="115"/>
    </row>
    <row r="12" spans="1:51" ht="15.75" x14ac:dyDescent="0.25">
      <c r="A12" s="113" t="s">
        <v>152</v>
      </c>
      <c r="B12" s="113"/>
      <c r="C12" s="113"/>
      <c r="D12" s="337">
        <f>D9/3</f>
        <v>0.19999999999999998</v>
      </c>
      <c r="E12" s="68" t="s">
        <v>153</v>
      </c>
      <c r="F12" s="68" t="s">
        <v>154</v>
      </c>
      <c r="G12" s="370">
        <v>7668.5</v>
      </c>
      <c r="H12" s="366">
        <v>9638.4</v>
      </c>
      <c r="I12" s="108">
        <v>0.78700000000000003</v>
      </c>
      <c r="J12" s="366">
        <v>2098.58</v>
      </c>
      <c r="K12" s="366">
        <v>3235.62</v>
      </c>
      <c r="L12" s="108">
        <v>0.64858666963364053</v>
      </c>
      <c r="M12" s="110">
        <v>0.21</v>
      </c>
      <c r="N12" s="68"/>
      <c r="O12" s="392">
        <v>7131.5</v>
      </c>
      <c r="P12" s="392">
        <v>2350.6</v>
      </c>
      <c r="Q12" s="392">
        <v>716.3</v>
      </c>
      <c r="R12" s="392">
        <v>574.5</v>
      </c>
      <c r="S12" s="392">
        <v>378.4</v>
      </c>
      <c r="T12" s="68"/>
      <c r="U12" s="115">
        <v>0.31340000000000001</v>
      </c>
      <c r="V12" s="115">
        <v>0.1177</v>
      </c>
      <c r="W12" s="115">
        <v>8.0558087358900646E-2</v>
      </c>
      <c r="X12" s="115">
        <v>5.3060365981911238E-2</v>
      </c>
      <c r="Y12" s="68"/>
      <c r="Z12" s="446">
        <v>8.0542971835754207E-2</v>
      </c>
      <c r="AA12" s="446">
        <v>0.10879955018273813</v>
      </c>
      <c r="AB12" s="446">
        <v>7.7235772357723498E-2</v>
      </c>
      <c r="AD12" s="366">
        <v>711.4</v>
      </c>
      <c r="AE12" s="366">
        <v>753.7</v>
      </c>
      <c r="AG12" s="426">
        <f>H12/Q12</f>
        <v>13.455814602820048</v>
      </c>
      <c r="AH12" s="426">
        <f>H12/AD12</f>
        <v>13.548495923531066</v>
      </c>
      <c r="AI12" s="426">
        <f>H12/AE12</f>
        <v>12.788111980894254</v>
      </c>
      <c r="AJ12" s="426">
        <f>H12/R12</f>
        <v>16.777023498694515</v>
      </c>
      <c r="AK12" s="456">
        <f>H12/O12</f>
        <v>1.3515249246301619</v>
      </c>
      <c r="AL12" s="109"/>
      <c r="AM12" s="109"/>
      <c r="AN12" s="109"/>
      <c r="AO12" s="109"/>
      <c r="AP12" s="109"/>
      <c r="AQ12" s="68"/>
      <c r="AR12" s="115"/>
      <c r="AS12" s="115"/>
      <c r="AT12" s="115"/>
      <c r="AU12" s="115"/>
      <c r="AV12" s="68"/>
      <c r="AW12" s="115"/>
      <c r="AX12" s="115"/>
      <c r="AY12" s="115"/>
    </row>
    <row r="13" spans="1:51" ht="15.75" x14ac:dyDescent="0.25">
      <c r="A13" s="116" t="s">
        <v>155</v>
      </c>
      <c r="B13" s="117"/>
      <c r="C13" s="117"/>
      <c r="D13" s="117"/>
      <c r="E13" s="118"/>
      <c r="F13" s="118"/>
      <c r="G13" s="366">
        <f>MEDIAN(G10:G12)</f>
        <v>7668.5</v>
      </c>
      <c r="H13" s="367">
        <f>MEDIAN(H10:H12)</f>
        <v>9638.4</v>
      </c>
      <c r="I13" s="119">
        <f>MEDIAN(I10:I12)</f>
        <v>0.78700000000000003</v>
      </c>
      <c r="J13" s="367">
        <v>8494.7635000000009</v>
      </c>
      <c r="K13" s="367">
        <v>8152.0010000000002</v>
      </c>
      <c r="L13" s="119">
        <v>1.997911943401486</v>
      </c>
      <c r="M13" s="120">
        <v>0.21</v>
      </c>
      <c r="N13" s="118"/>
      <c r="O13" s="393">
        <v>22930.4555</v>
      </c>
      <c r="P13" s="393">
        <v>6214.0504999999994</v>
      </c>
      <c r="Q13" s="393">
        <v>2977.9759999999997</v>
      </c>
      <c r="R13" s="393">
        <v>2023.924</v>
      </c>
      <c r="S13" s="393">
        <v>2583.8955000000001</v>
      </c>
      <c r="T13" s="118"/>
      <c r="U13" s="120">
        <f>MEDIAN(U10:U12)</f>
        <v>0.31340000000000001</v>
      </c>
      <c r="V13" s="120">
        <f>MEDIAN(V10:V12)</f>
        <v>9.1700000000000004E-2</v>
      </c>
      <c r="W13" s="120">
        <f>MEDIAN(W10:W12)</f>
        <v>7.2833876221498367E-2</v>
      </c>
      <c r="X13" s="120">
        <f>MEDIAN(X10:X12)</f>
        <v>4.4104234527687296E-2</v>
      </c>
      <c r="Y13" s="118"/>
      <c r="Z13" s="445">
        <f>MEDIAN(Z10:Z12)</f>
        <v>8.0542971835754207E-2</v>
      </c>
      <c r="AA13" s="445">
        <f>MEDIAN(AA10:AA12)</f>
        <v>-3.4883720930232509E-2</v>
      </c>
      <c r="AB13" s="445">
        <f>MEDIAN(AB10:AB12)</f>
        <v>0.1073170731707318</v>
      </c>
      <c r="AC13" s="453"/>
      <c r="AD13" s="367">
        <f>MEDIAN(AD10:AD12)</f>
        <v>774</v>
      </c>
      <c r="AE13" s="367">
        <f>MEDIAN(AE10:AE12)</f>
        <v>753.7</v>
      </c>
      <c r="AF13" s="453"/>
      <c r="AG13" s="454">
        <f>MEDIAN(AG10:AG12)</f>
        <v>13.455814602820048</v>
      </c>
      <c r="AH13" s="454">
        <f t="shared" ref="AH13:AI13" si="0">MEDIAN(AH10:AH12)</f>
        <v>13.548495923531066</v>
      </c>
      <c r="AI13" s="454">
        <f t="shared" si="0"/>
        <v>12.788111980894254</v>
      </c>
      <c r="AJ13" s="454">
        <f t="shared" ref="AJ13" si="1">MEDIAN(AJ10:AJ12)</f>
        <v>16.777023498694515</v>
      </c>
      <c r="AK13" s="454">
        <f t="shared" ref="AK13" si="2">MEDIAN(AK10:AK12)</f>
        <v>1.3515249246301619</v>
      </c>
    </row>
    <row r="14" spans="1:51" ht="15.75" x14ac:dyDescent="0.25">
      <c r="A14" s="121" t="s">
        <v>156</v>
      </c>
      <c r="B14" s="122"/>
      <c r="C14" s="122"/>
      <c r="D14" s="122"/>
      <c r="E14" s="123"/>
      <c r="F14" s="123"/>
      <c r="G14" s="370">
        <f t="shared" ref="G14:M14" si="3">AVERAGE(G10:G12)</f>
        <v>10173.300000000001</v>
      </c>
      <c r="H14" s="370">
        <f t="shared" si="3"/>
        <v>12566.883236813335</v>
      </c>
      <c r="I14" s="124">
        <f t="shared" si="3"/>
        <v>0.79891864267985024</v>
      </c>
      <c r="J14" s="370">
        <f t="shared" si="3"/>
        <v>2518.3690000000001</v>
      </c>
      <c r="K14" s="370">
        <f t="shared" si="3"/>
        <v>1977.2073333333331</v>
      </c>
      <c r="L14" s="124">
        <f t="shared" si="3"/>
        <v>1.7134378710769598</v>
      </c>
      <c r="M14" s="134">
        <f t="shared" si="3"/>
        <v>0.21</v>
      </c>
      <c r="N14" s="80"/>
      <c r="O14" s="370">
        <f>AVERAGE(O10:O12)</f>
        <v>8279.2010000000009</v>
      </c>
      <c r="P14" s="370">
        <f>AVERAGE(P10:P12)</f>
        <v>2735.5669999999996</v>
      </c>
      <c r="Q14" s="370">
        <f>AVERAGE(Q10:Q12)</f>
        <v>700.41733333333332</v>
      </c>
      <c r="R14" s="370">
        <f>AVERAGE(R10:R12)</f>
        <v>526.78266666666661</v>
      </c>
      <c r="S14" s="370">
        <f>AVERAGE(S10:S12)</f>
        <v>329.56366666666662</v>
      </c>
      <c r="T14" s="80"/>
      <c r="U14" s="134">
        <f>AVERAGE(U10:U12)</f>
        <v>0.30825800122877811</v>
      </c>
      <c r="V14" s="134">
        <f>AVERAGE(V10:V12)</f>
        <v>9.2428020069178829E-2</v>
      </c>
      <c r="W14" s="134">
        <f>AVERAGE(W10:W12)</f>
        <v>6.5979403795283234E-2</v>
      </c>
      <c r="X14" s="134">
        <f>AVERAGE(X10:X12)</f>
        <v>4.1419809156435256E-2</v>
      </c>
      <c r="Y14" s="80"/>
      <c r="Z14" s="134">
        <f>AVERAGE(Z10:Z12)</f>
        <v>7.6501380372113348E-2</v>
      </c>
      <c r="AA14" s="134">
        <f>AVERAGE(AA10:AA12)</f>
        <v>-5.9039343420158451E-2</v>
      </c>
      <c r="AB14" s="134">
        <f>AVERAGE(AB10:AB12)</f>
        <v>9.9450948509485104E-2</v>
      </c>
      <c r="AC14" s="209"/>
      <c r="AD14" s="370">
        <f>AVERAGE(AD10:AD12)</f>
        <v>773.80000000000007</v>
      </c>
      <c r="AE14" s="370">
        <f>AVERAGE(AE10:AE12)</f>
        <v>765.23333333333323</v>
      </c>
      <c r="AF14" s="209"/>
      <c r="AG14" s="428">
        <f>AVERAGE(AG10:AG12)</f>
        <v>18.079455836670672</v>
      </c>
      <c r="AH14" s="428">
        <f t="shared" ref="AH14:AI14" si="4">AVERAGE(AH10:AH12)</f>
        <v>15.989435378954923</v>
      </c>
      <c r="AI14" s="428">
        <f t="shared" si="4"/>
        <v>16.083657130433391</v>
      </c>
      <c r="AJ14" s="428">
        <f t="shared" ref="AJ14:AK14" si="5">AVERAGE(AJ10:AJ12)</f>
        <v>25.194209552698691</v>
      </c>
      <c r="AK14" s="428">
        <f t="shared" si="5"/>
        <v>1.4737792977664463</v>
      </c>
    </row>
    <row r="15" spans="1:51" ht="15.75" x14ac:dyDescent="0.25">
      <c r="A15" s="113"/>
      <c r="B15" s="113"/>
      <c r="C15" s="113"/>
      <c r="D15" s="113"/>
      <c r="E15" s="68"/>
      <c r="F15" s="68"/>
      <c r="G15" s="366"/>
      <c r="H15" s="366"/>
      <c r="I15" s="108"/>
      <c r="J15" s="366"/>
      <c r="K15" s="366"/>
      <c r="L15" s="108"/>
      <c r="M15" s="115"/>
      <c r="N15" s="68"/>
      <c r="O15" s="394"/>
      <c r="P15" s="394"/>
      <c r="Q15" s="394"/>
      <c r="R15" s="394"/>
      <c r="S15" s="394"/>
      <c r="T15" s="68"/>
      <c r="U15" s="115"/>
      <c r="V15" s="115"/>
      <c r="W15" s="115"/>
      <c r="X15" s="115"/>
      <c r="Y15" s="68"/>
      <c r="Z15" s="115"/>
      <c r="AA15" s="115"/>
      <c r="AB15" s="115"/>
      <c r="AD15" s="425"/>
      <c r="AE15" s="425"/>
      <c r="AG15" s="426"/>
    </row>
    <row r="16" spans="1:51" ht="15.75" x14ac:dyDescent="0.25">
      <c r="A16" s="150" t="s">
        <v>157</v>
      </c>
      <c r="B16" s="150"/>
      <c r="C16" s="150"/>
      <c r="D16" s="338">
        <v>0.34</v>
      </c>
      <c r="E16" s="150"/>
      <c r="F16" s="150"/>
      <c r="G16" s="400"/>
      <c r="H16" s="400"/>
      <c r="I16" s="152"/>
      <c r="J16" s="400"/>
      <c r="K16" s="400"/>
      <c r="L16" s="152"/>
      <c r="M16" s="218"/>
      <c r="N16" s="150"/>
      <c r="O16" s="395"/>
      <c r="P16" s="395"/>
      <c r="Q16" s="395"/>
      <c r="R16" s="395"/>
      <c r="S16" s="395"/>
      <c r="T16" s="150"/>
      <c r="U16" s="155"/>
      <c r="V16" s="155"/>
      <c r="W16" s="155"/>
      <c r="X16" s="155"/>
      <c r="Y16" s="150"/>
      <c r="Z16" s="153"/>
      <c r="AA16" s="153"/>
      <c r="AB16" s="153"/>
      <c r="AC16" s="232"/>
      <c r="AD16" s="452"/>
      <c r="AE16" s="452"/>
      <c r="AF16" s="232"/>
      <c r="AG16" s="427"/>
      <c r="AH16" s="232"/>
      <c r="AI16" s="232"/>
      <c r="AJ16" s="232"/>
      <c r="AK16" s="232"/>
    </row>
    <row r="17" spans="1:37" ht="15.75" x14ac:dyDescent="0.25">
      <c r="A17" s="434" t="s">
        <v>158</v>
      </c>
      <c r="B17" s="433"/>
      <c r="C17" s="433"/>
      <c r="D17" s="435">
        <f>D16/3</f>
        <v>0.11333333333333334</v>
      </c>
      <c r="E17" s="447" t="s">
        <v>159</v>
      </c>
      <c r="F17" s="447" t="s">
        <v>160</v>
      </c>
      <c r="G17" s="448">
        <v>6958.3</v>
      </c>
      <c r="H17" s="448">
        <v>7831</v>
      </c>
      <c r="I17" s="450">
        <v>0.81200000000000006</v>
      </c>
      <c r="J17" s="448">
        <v>1003.1</v>
      </c>
      <c r="K17" s="448">
        <v>2248</v>
      </c>
      <c r="L17" s="450">
        <v>0.4462188612099644</v>
      </c>
      <c r="M17" s="110">
        <v>0.21</v>
      </c>
      <c r="N17" s="447"/>
      <c r="O17" s="448">
        <v>5051.6000000000004</v>
      </c>
      <c r="P17" s="448">
        <v>1081.5</v>
      </c>
      <c r="Q17" s="448">
        <v>460</v>
      </c>
      <c r="R17" s="448">
        <v>279.60000000000002</v>
      </c>
      <c r="S17" s="448">
        <v>156.19999999999999</v>
      </c>
      <c r="T17" s="447"/>
      <c r="U17" s="449">
        <v>0.214</v>
      </c>
      <c r="V17" s="449">
        <v>9.0999999999999998E-2</v>
      </c>
      <c r="W17" s="449">
        <v>5.5348800380077598E-2</v>
      </c>
      <c r="X17" s="449">
        <v>3.1E-2</v>
      </c>
      <c r="Y17" s="447"/>
      <c r="Z17" s="449">
        <v>0.14600633741258751</v>
      </c>
      <c r="AA17" s="449">
        <v>0.10737273259215918</v>
      </c>
      <c r="AB17" s="449">
        <v>9.5238095238095122E-2</v>
      </c>
      <c r="AD17" s="366">
        <v>387.5</v>
      </c>
      <c r="AE17" s="366">
        <v>351.8</v>
      </c>
      <c r="AG17" s="426">
        <f>H17/Q17</f>
        <v>17.02391304347826</v>
      </c>
      <c r="AH17" s="426">
        <f>H17/AD17</f>
        <v>20.209032258064518</v>
      </c>
      <c r="AI17" s="426">
        <f>H17/AE17</f>
        <v>22.259806708357019</v>
      </c>
      <c r="AJ17" s="426">
        <f>H17/R17</f>
        <v>28.007868383404862</v>
      </c>
      <c r="AK17" s="456">
        <f>H17/O17</f>
        <v>1.5502019162245624</v>
      </c>
    </row>
    <row r="18" spans="1:37" ht="15.75" x14ac:dyDescent="0.25">
      <c r="A18" s="113" t="s">
        <v>161</v>
      </c>
      <c r="B18" s="113"/>
      <c r="C18" s="113"/>
      <c r="D18" s="337">
        <f>D16/3</f>
        <v>0.11333333333333334</v>
      </c>
      <c r="E18" s="68" t="s">
        <v>162</v>
      </c>
      <c r="F18" s="68" t="s">
        <v>163</v>
      </c>
      <c r="G18" s="366">
        <v>118943</v>
      </c>
      <c r="H18" s="366">
        <v>151776.40408408002</v>
      </c>
      <c r="I18" s="108">
        <v>0.75330215692520142</v>
      </c>
      <c r="J18" s="366">
        <v>33856</v>
      </c>
      <c r="K18" s="366">
        <v>74214</v>
      </c>
      <c r="L18" s="108">
        <v>0.45619424906351902</v>
      </c>
      <c r="M18" s="110">
        <v>0.21</v>
      </c>
      <c r="N18" s="68"/>
      <c r="O18" s="392">
        <v>67086</v>
      </c>
      <c r="P18" s="392">
        <v>13668</v>
      </c>
      <c r="Q18" s="392">
        <v>9522</v>
      </c>
      <c r="R18" s="392">
        <v>5414</v>
      </c>
      <c r="S18" s="392">
        <v>5197</v>
      </c>
      <c r="T18" s="68"/>
      <c r="U18" s="115">
        <v>0.2037384849297916</v>
      </c>
      <c r="V18" s="115">
        <v>0.14193721491816474</v>
      </c>
      <c r="W18" s="115">
        <v>8.070238201711237E-2</v>
      </c>
      <c r="X18" s="115">
        <v>7.7467727990937013E-2</v>
      </c>
      <c r="Y18" s="68"/>
      <c r="Z18" s="115">
        <v>4.1715847673479536E-2</v>
      </c>
      <c r="AA18" s="115">
        <v>-0.21757940276458793</v>
      </c>
      <c r="AB18" s="115">
        <v>0.1246</v>
      </c>
      <c r="AD18" s="366">
        <v>11530</v>
      </c>
      <c r="AE18" s="366">
        <v>12050</v>
      </c>
      <c r="AG18" s="426">
        <f>H18/Q18</f>
        <v>15.939550943507667</v>
      </c>
      <c r="AH18" s="426">
        <f>H18/AD18</f>
        <v>13.163608333398093</v>
      </c>
      <c r="AI18" s="426">
        <f>H18/AE18</f>
        <v>12.595552206147719</v>
      </c>
      <c r="AJ18" s="426">
        <f>H18/R18</f>
        <v>28.034060599202071</v>
      </c>
      <c r="AK18" s="456">
        <f>H18/O18</f>
        <v>2.2624154679676836</v>
      </c>
    </row>
    <row r="19" spans="1:37" ht="15.75" x14ac:dyDescent="0.25">
      <c r="A19" s="113" t="s">
        <v>164</v>
      </c>
      <c r="B19" s="113"/>
      <c r="C19" s="113"/>
      <c r="D19" s="337">
        <f>D16/3</f>
        <v>0.11333333333333334</v>
      </c>
      <c r="E19" s="68" t="s">
        <v>165</v>
      </c>
      <c r="F19" s="68" t="s">
        <v>166</v>
      </c>
      <c r="G19" s="366">
        <v>17420.3</v>
      </c>
      <c r="H19" s="366">
        <v>20750.8</v>
      </c>
      <c r="I19" s="108">
        <v>0.93400000000000005</v>
      </c>
      <c r="J19" s="366">
        <v>3570.2</v>
      </c>
      <c r="K19" s="366">
        <v>7233</v>
      </c>
      <c r="L19" s="108">
        <f>J19/K19</f>
        <v>0.49359878335407159</v>
      </c>
      <c r="M19" s="110">
        <v>0.21</v>
      </c>
      <c r="N19" s="68"/>
      <c r="O19" s="392">
        <v>16352.4</v>
      </c>
      <c r="P19" s="392">
        <v>3473.3</v>
      </c>
      <c r="Q19" s="392">
        <v>1793.2</v>
      </c>
      <c r="R19" s="392">
        <v>1295.8</v>
      </c>
      <c r="S19" s="392">
        <v>801.7</v>
      </c>
      <c r="T19" s="68"/>
      <c r="U19" s="115">
        <v>0.21199999999999999</v>
      </c>
      <c r="V19" s="115">
        <v>0.11</v>
      </c>
      <c r="W19" s="115">
        <v>7.9242190748758587E-2</v>
      </c>
      <c r="X19" s="115">
        <v>4.9000000000000002E-2</v>
      </c>
      <c r="Y19" s="68"/>
      <c r="Z19" s="115">
        <v>9.5799715871016211E-2</v>
      </c>
      <c r="AA19" s="115">
        <v>-7.4095110239066453E-2</v>
      </c>
      <c r="AB19" s="115">
        <v>-2.9230769230769282E-2</v>
      </c>
      <c r="AD19" s="366">
        <v>1936.7</v>
      </c>
      <c r="AE19" s="366">
        <v>1544.8</v>
      </c>
      <c r="AG19" s="426">
        <f>H19/Q19</f>
        <v>11.571938434084318</v>
      </c>
      <c r="AH19" s="426">
        <f>H19/AD19</f>
        <v>10.714514380131151</v>
      </c>
      <c r="AI19" s="426">
        <f>H19/AE19</f>
        <v>13.432677369238736</v>
      </c>
      <c r="AJ19" s="426">
        <f>H19/R19</f>
        <v>16.013891032566754</v>
      </c>
      <c r="AK19" s="456">
        <f>H19/O19</f>
        <v>1.2689758078324893</v>
      </c>
    </row>
    <row r="20" spans="1:37" ht="15.75" x14ac:dyDescent="0.25">
      <c r="A20" s="116" t="s">
        <v>155</v>
      </c>
      <c r="B20" s="117"/>
      <c r="C20" s="117"/>
      <c r="D20" s="117"/>
      <c r="E20" s="118"/>
      <c r="F20" s="118"/>
      <c r="G20" s="367">
        <f>MEDIAN(G17:G19)</f>
        <v>17420.3</v>
      </c>
      <c r="H20" s="367">
        <f t="shared" ref="H20:AG20" si="6">MEDIAN(H17:H19)</f>
        <v>20750.8</v>
      </c>
      <c r="I20" s="119">
        <f t="shared" si="6"/>
        <v>0.81200000000000006</v>
      </c>
      <c r="J20" s="367">
        <f t="shared" si="6"/>
        <v>3570.2</v>
      </c>
      <c r="K20" s="367">
        <f t="shared" si="6"/>
        <v>7233</v>
      </c>
      <c r="L20" s="119">
        <f t="shared" si="6"/>
        <v>0.45619424906351902</v>
      </c>
      <c r="M20" s="111">
        <f t="shared" si="6"/>
        <v>0.21</v>
      </c>
      <c r="N20" s="55"/>
      <c r="O20" s="367">
        <f t="shared" si="6"/>
        <v>16352.4</v>
      </c>
      <c r="P20" s="367">
        <f t="shared" si="6"/>
        <v>3473.3</v>
      </c>
      <c r="Q20" s="367">
        <f t="shared" si="6"/>
        <v>1793.2</v>
      </c>
      <c r="R20" s="367">
        <f t="shared" si="6"/>
        <v>1295.8</v>
      </c>
      <c r="S20" s="367">
        <f t="shared" si="6"/>
        <v>801.7</v>
      </c>
      <c r="T20" s="55"/>
      <c r="U20" s="111">
        <f t="shared" si="6"/>
        <v>0.21199999999999999</v>
      </c>
      <c r="V20" s="111">
        <f t="shared" si="6"/>
        <v>0.11</v>
      </c>
      <c r="W20" s="111">
        <f t="shared" si="6"/>
        <v>7.9242190748758587E-2</v>
      </c>
      <c r="X20" s="111">
        <f t="shared" si="6"/>
        <v>4.9000000000000002E-2</v>
      </c>
      <c r="Y20" s="55"/>
      <c r="Z20" s="111">
        <f t="shared" si="6"/>
        <v>9.5799715871016211E-2</v>
      </c>
      <c r="AA20" s="111">
        <f t="shared" si="6"/>
        <v>-7.4095110239066453E-2</v>
      </c>
      <c r="AB20" s="111">
        <f t="shared" si="6"/>
        <v>9.5238095238095122E-2</v>
      </c>
      <c r="AC20" s="453"/>
      <c r="AD20" s="367">
        <f t="shared" ref="AD20" si="7">MEDIAN(AD17:AD19)</f>
        <v>1936.7</v>
      </c>
      <c r="AE20" s="367">
        <f t="shared" ref="AE20" si="8">MEDIAN(AE17:AE19)</f>
        <v>1544.8</v>
      </c>
      <c r="AF20" s="453"/>
      <c r="AG20" s="454">
        <f t="shared" si="6"/>
        <v>15.939550943507667</v>
      </c>
      <c r="AH20" s="454">
        <f t="shared" ref="AH20" si="9">MEDIAN(AH17:AH19)</f>
        <v>13.163608333398093</v>
      </c>
      <c r="AI20" s="454">
        <f t="shared" ref="AI20" si="10">MEDIAN(AI17:AI19)</f>
        <v>13.432677369238736</v>
      </c>
      <c r="AJ20" s="454">
        <f t="shared" ref="AJ20" si="11">MEDIAN(AJ17:AJ19)</f>
        <v>28.007868383404862</v>
      </c>
      <c r="AK20" s="454">
        <f t="shared" ref="AK20" si="12">MEDIAN(AK17:AK19)</f>
        <v>1.5502019162245624</v>
      </c>
    </row>
    <row r="21" spans="1:37" ht="15.75" x14ac:dyDescent="0.25">
      <c r="A21" s="121" t="s">
        <v>156</v>
      </c>
      <c r="B21" s="122"/>
      <c r="C21" s="122"/>
      <c r="D21" s="122"/>
      <c r="E21" s="123"/>
      <c r="F21" s="123"/>
      <c r="G21" s="370">
        <f>AVERAGE(G17:G19)</f>
        <v>47773.866666666669</v>
      </c>
      <c r="H21" s="370">
        <f t="shared" ref="H21:AG21" si="13">AVERAGE(H17:H19)</f>
        <v>60119.401361360004</v>
      </c>
      <c r="I21" s="124">
        <f t="shared" si="13"/>
        <v>0.8331007189750671</v>
      </c>
      <c r="J21" s="370">
        <f t="shared" si="13"/>
        <v>12809.766666666665</v>
      </c>
      <c r="K21" s="370">
        <f t="shared" si="13"/>
        <v>27898.333333333332</v>
      </c>
      <c r="L21" s="124">
        <f t="shared" si="13"/>
        <v>0.46533729787585165</v>
      </c>
      <c r="M21" s="134">
        <f t="shared" si="13"/>
        <v>0.21</v>
      </c>
      <c r="N21" s="80"/>
      <c r="O21" s="370">
        <f t="shared" si="13"/>
        <v>29496.666666666668</v>
      </c>
      <c r="P21" s="370">
        <f t="shared" si="13"/>
        <v>6074.2666666666664</v>
      </c>
      <c r="Q21" s="370">
        <f t="shared" si="13"/>
        <v>3925.0666666666671</v>
      </c>
      <c r="R21" s="370">
        <f t="shared" si="13"/>
        <v>2329.8000000000002</v>
      </c>
      <c r="S21" s="370">
        <f t="shared" si="13"/>
        <v>2051.6333333333332</v>
      </c>
      <c r="T21" s="80"/>
      <c r="U21" s="134">
        <f t="shared" si="13"/>
        <v>0.20991282830993052</v>
      </c>
      <c r="V21" s="134">
        <f t="shared" si="13"/>
        <v>0.11431240497272159</v>
      </c>
      <c r="W21" s="134">
        <f t="shared" si="13"/>
        <v>7.1764457715316185E-2</v>
      </c>
      <c r="X21" s="134">
        <f t="shared" si="13"/>
        <v>5.2489242663645665E-2</v>
      </c>
      <c r="Y21" s="80"/>
      <c r="Z21" s="134">
        <f t="shared" si="13"/>
        <v>9.4507300319027751E-2</v>
      </c>
      <c r="AA21" s="134">
        <f t="shared" si="13"/>
        <v>-6.143392680383173E-2</v>
      </c>
      <c r="AB21" s="134">
        <f t="shared" si="13"/>
        <v>6.3535775335775271E-2</v>
      </c>
      <c r="AC21" s="209"/>
      <c r="AD21" s="370">
        <f t="shared" ref="AD21:AE21" si="14">AVERAGE(AD17:AD19)</f>
        <v>4618.0666666666666</v>
      </c>
      <c r="AE21" s="370">
        <f t="shared" si="14"/>
        <v>4648.8666666666659</v>
      </c>
      <c r="AF21" s="209"/>
      <c r="AG21" s="428">
        <f t="shared" si="13"/>
        <v>14.845134140356748</v>
      </c>
      <c r="AH21" s="428">
        <f t="shared" ref="AH21:AK21" si="15">AVERAGE(AH17:AH19)</f>
        <v>14.695718323864588</v>
      </c>
      <c r="AI21" s="428">
        <f t="shared" si="15"/>
        <v>16.096012094581155</v>
      </c>
      <c r="AJ21" s="428">
        <f t="shared" si="15"/>
        <v>24.018606671724559</v>
      </c>
      <c r="AK21" s="428">
        <f t="shared" si="15"/>
        <v>1.6938643973415786</v>
      </c>
    </row>
    <row r="22" spans="1:37" ht="15.75" x14ac:dyDescent="0.25">
      <c r="A22" s="113"/>
      <c r="B22" s="113"/>
      <c r="C22" s="113"/>
      <c r="D22" s="113"/>
      <c r="E22" s="68"/>
      <c r="F22" s="68"/>
      <c r="G22" s="366"/>
      <c r="H22" s="366"/>
      <c r="I22" s="108"/>
      <c r="J22" s="366"/>
      <c r="K22" s="366"/>
      <c r="L22" s="108"/>
      <c r="M22" s="115"/>
      <c r="N22" s="68"/>
      <c r="O22" s="394"/>
      <c r="P22" s="394"/>
      <c r="Q22" s="394"/>
      <c r="R22" s="394"/>
      <c r="S22" s="394"/>
      <c r="T22" s="68"/>
      <c r="U22" s="115"/>
      <c r="V22" s="115"/>
      <c r="W22" s="115"/>
      <c r="X22" s="115"/>
      <c r="Y22" s="68"/>
      <c r="Z22" s="115"/>
      <c r="AA22" s="115"/>
      <c r="AB22" s="115"/>
      <c r="AD22" s="425"/>
      <c r="AE22" s="425"/>
      <c r="AG22" s="426"/>
    </row>
    <row r="23" spans="1:37" ht="15.75" x14ac:dyDescent="0.25">
      <c r="A23" s="150" t="s">
        <v>167</v>
      </c>
      <c r="B23" s="150"/>
      <c r="C23" s="150"/>
      <c r="D23" s="338">
        <v>0.06</v>
      </c>
      <c r="E23" s="150"/>
      <c r="F23" s="150"/>
      <c r="G23" s="400"/>
      <c r="H23" s="400"/>
      <c r="I23" s="152"/>
      <c r="J23" s="400"/>
      <c r="K23" s="400"/>
      <c r="L23" s="152"/>
      <c r="M23" s="218"/>
      <c r="N23" s="150"/>
      <c r="O23" s="395"/>
      <c r="P23" s="395"/>
      <c r="Q23" s="395"/>
      <c r="R23" s="395"/>
      <c r="S23" s="395"/>
      <c r="T23" s="150"/>
      <c r="U23" s="155"/>
      <c r="V23" s="155"/>
      <c r="W23" s="155"/>
      <c r="X23" s="155"/>
      <c r="Y23" s="150"/>
      <c r="Z23" s="153"/>
      <c r="AA23" s="153"/>
      <c r="AB23" s="153"/>
      <c r="AC23" s="232"/>
      <c r="AD23" s="452"/>
      <c r="AE23" s="452"/>
      <c r="AF23" s="232"/>
      <c r="AG23" s="427"/>
      <c r="AH23" s="232"/>
      <c r="AI23" s="232"/>
      <c r="AJ23" s="232"/>
      <c r="AK23" s="232"/>
    </row>
    <row r="24" spans="1:37" ht="15.75" x14ac:dyDescent="0.25">
      <c r="A24" s="113" t="s">
        <v>168</v>
      </c>
      <c r="B24" s="113"/>
      <c r="C24" s="113"/>
      <c r="D24" s="337">
        <f>D23/2</f>
        <v>0.03</v>
      </c>
      <c r="E24" s="68" t="s">
        <v>153</v>
      </c>
      <c r="F24" s="68" t="s">
        <v>169</v>
      </c>
      <c r="G24" s="366">
        <v>249103.4</v>
      </c>
      <c r="H24" s="366">
        <v>245846.9</v>
      </c>
      <c r="I24" s="108">
        <v>1.2030000000000001</v>
      </c>
      <c r="J24" s="366">
        <v>3080.2</v>
      </c>
      <c r="K24" s="366">
        <v>27485</v>
      </c>
      <c r="L24" s="471">
        <f>J24/K24</f>
        <v>0.11206840094597052</v>
      </c>
      <c r="M24" s="110">
        <v>0.21</v>
      </c>
      <c r="N24" s="68"/>
      <c r="O24" s="392">
        <v>64588.2</v>
      </c>
      <c r="P24" s="392">
        <v>20993.4</v>
      </c>
      <c r="Q24" s="392">
        <v>12465</v>
      </c>
      <c r="R24" s="392">
        <v>9984.5</v>
      </c>
      <c r="S24" s="392">
        <v>7809</v>
      </c>
      <c r="T24" s="68"/>
      <c r="U24" s="115">
        <v>0.32500000000000001</v>
      </c>
      <c r="V24" s="115">
        <v>0.193</v>
      </c>
      <c r="W24" s="115">
        <v>0.15458706079438661</v>
      </c>
      <c r="X24" s="115">
        <v>0.121</v>
      </c>
      <c r="Y24" s="68"/>
      <c r="Z24" s="115">
        <v>4.0870664980363403E-2</v>
      </c>
      <c r="AA24" s="115">
        <v>6.5258346712099957E-2</v>
      </c>
      <c r="AB24" s="115">
        <v>7.756232686980602E-2</v>
      </c>
      <c r="AD24" s="366">
        <v>12208.4</v>
      </c>
      <c r="AE24" s="366">
        <v>10254.299999999999</v>
      </c>
      <c r="AG24" s="426">
        <f>H24/Q24</f>
        <v>19.722976333734454</v>
      </c>
      <c r="AH24" s="426">
        <f>H24/AD24</f>
        <v>20.137520068149797</v>
      </c>
      <c r="AI24" s="426">
        <f>H24/AE24</f>
        <v>23.975005607403723</v>
      </c>
      <c r="AJ24" s="426">
        <f>H24/R24</f>
        <v>24.62285542591016</v>
      </c>
      <c r="AK24" s="456">
        <f>H24/O24</f>
        <v>3.8063748486565658</v>
      </c>
    </row>
    <row r="25" spans="1:37" ht="15.75" x14ac:dyDescent="0.25">
      <c r="A25" s="113" t="s">
        <v>170</v>
      </c>
      <c r="B25" s="113"/>
      <c r="C25" s="113"/>
      <c r="D25" s="337">
        <f>D23/2</f>
        <v>0.03</v>
      </c>
      <c r="E25" s="68" t="s">
        <v>171</v>
      </c>
      <c r="F25" s="68" t="s">
        <v>172</v>
      </c>
      <c r="G25" s="366">
        <v>118000</v>
      </c>
      <c r="H25" s="366">
        <v>156761.4800556</v>
      </c>
      <c r="I25" s="108">
        <v>1.100822925567627</v>
      </c>
      <c r="J25" s="366">
        <v>58582</v>
      </c>
      <c r="K25" s="366">
        <v>-15848</v>
      </c>
      <c r="L25" s="471">
        <f>ABS(J25/K25)</f>
        <v>3.6964916708732964</v>
      </c>
      <c r="M25" s="110">
        <v>0.21</v>
      </c>
      <c r="N25" s="68"/>
      <c r="O25" s="392">
        <v>75756</v>
      </c>
      <c r="P25" s="392">
        <v>3502</v>
      </c>
      <c r="Q25" s="392">
        <v>-1222</v>
      </c>
      <c r="R25" s="392">
        <v>-3547</v>
      </c>
      <c r="S25" s="392">
        <v>-4935</v>
      </c>
      <c r="T25" s="68"/>
      <c r="U25" s="115">
        <v>4.6227361529119805E-2</v>
      </c>
      <c r="V25" s="115">
        <v>-1.6130735519298802E-2</v>
      </c>
      <c r="W25" s="115">
        <v>-4.68213738845768E-2</v>
      </c>
      <c r="X25" s="115">
        <v>-6.5143354981783627E-2</v>
      </c>
      <c r="Y25" s="68"/>
      <c r="Z25" s="115">
        <v>6.938958995600937E-2</v>
      </c>
      <c r="AA25" s="115">
        <v>-0.17094999999999999</v>
      </c>
      <c r="AB25" s="115">
        <v>-8.43E-2</v>
      </c>
      <c r="AD25" s="366">
        <v>-2259</v>
      </c>
      <c r="AE25" s="366">
        <v>1697</v>
      </c>
      <c r="AG25" s="426">
        <f>H25/Q25</f>
        <v>-128.28271690310964</v>
      </c>
      <c r="AH25" s="426">
        <f>H25/AD25</f>
        <v>-69.394192145019915</v>
      </c>
      <c r="AI25" s="426">
        <f>H25/AE25</f>
        <v>92.375651181850316</v>
      </c>
      <c r="AJ25" s="426">
        <f>H25/R25</f>
        <v>-44.195511715703411</v>
      </c>
      <c r="AK25" s="456">
        <f>H25/O25</f>
        <v>2.0692945780611436</v>
      </c>
    </row>
    <row r="26" spans="1:37" ht="15.75" x14ac:dyDescent="0.25">
      <c r="A26" s="116" t="s">
        <v>155</v>
      </c>
      <c r="B26" s="117"/>
      <c r="C26" s="117"/>
      <c r="D26" s="117"/>
      <c r="E26" s="118"/>
      <c r="F26" s="118"/>
      <c r="G26" s="367">
        <f>MEDIAN(G24:G25)</f>
        <v>183551.7</v>
      </c>
      <c r="H26" s="367">
        <f t="shared" ref="H26:AG26" si="16">MEDIAN(H24:H25)</f>
        <v>201304.19002779998</v>
      </c>
      <c r="I26" s="119">
        <f t="shared" si="16"/>
        <v>1.1519114627838136</v>
      </c>
      <c r="J26" s="367">
        <f t="shared" si="16"/>
        <v>30831.100000000002</v>
      </c>
      <c r="K26" s="367">
        <f t="shared" si="16"/>
        <v>5818.5</v>
      </c>
      <c r="L26" s="472">
        <f t="shared" si="16"/>
        <v>1.9042800359096335</v>
      </c>
      <c r="M26" s="111">
        <f t="shared" si="16"/>
        <v>0.21</v>
      </c>
      <c r="N26" s="55"/>
      <c r="O26" s="367">
        <f t="shared" si="16"/>
        <v>70172.100000000006</v>
      </c>
      <c r="P26" s="367">
        <f t="shared" si="16"/>
        <v>12247.7</v>
      </c>
      <c r="Q26" s="367">
        <f t="shared" si="16"/>
        <v>5621.5</v>
      </c>
      <c r="R26" s="367">
        <f t="shared" si="16"/>
        <v>3218.75</v>
      </c>
      <c r="S26" s="367">
        <f t="shared" si="16"/>
        <v>1437</v>
      </c>
      <c r="T26" s="55"/>
      <c r="U26" s="111">
        <f t="shared" si="16"/>
        <v>0.18561368076455989</v>
      </c>
      <c r="V26" s="111">
        <f t="shared" si="16"/>
        <v>8.84346322403506E-2</v>
      </c>
      <c r="W26" s="111">
        <f t="shared" si="16"/>
        <v>5.3882843454904905E-2</v>
      </c>
      <c r="X26" s="111">
        <f t="shared" si="16"/>
        <v>2.7928322509108192E-2</v>
      </c>
      <c r="Y26" s="111"/>
      <c r="Z26" s="111">
        <f t="shared" si="16"/>
        <v>5.5130127468186386E-2</v>
      </c>
      <c r="AA26" s="111">
        <f t="shared" si="16"/>
        <v>-5.2845826643950017E-2</v>
      </c>
      <c r="AB26" s="111">
        <f t="shared" si="16"/>
        <v>-3.368836565096997E-3</v>
      </c>
      <c r="AC26" s="453"/>
      <c r="AD26" s="367">
        <f t="shared" ref="AD26" si="17">MEDIAN(AD24:AD25)</f>
        <v>4974.7</v>
      </c>
      <c r="AE26" s="367">
        <f t="shared" ref="AE26" si="18">MEDIAN(AE24:AE25)</f>
        <v>5975.65</v>
      </c>
      <c r="AF26" s="453"/>
      <c r="AG26" s="454">
        <f t="shared" si="16"/>
        <v>-54.27987028468759</v>
      </c>
      <c r="AH26" s="454">
        <f t="shared" ref="AH26" si="19">MEDIAN(AH24:AH25)</f>
        <v>-24.628336038435059</v>
      </c>
      <c r="AI26" s="454">
        <f t="shared" ref="AI26" si="20">MEDIAN(AI24:AI25)</f>
        <v>58.175328394627023</v>
      </c>
      <c r="AJ26" s="454">
        <f t="shared" ref="AJ26" si="21">MEDIAN(AJ24:AJ25)</f>
        <v>-9.786328144896622</v>
      </c>
      <c r="AK26" s="454">
        <f t="shared" ref="AK26" si="22">MEDIAN(AK24:AK25)</f>
        <v>2.9378347133588547</v>
      </c>
    </row>
    <row r="27" spans="1:37" ht="15.75" x14ac:dyDescent="0.25">
      <c r="A27" s="121" t="s">
        <v>156</v>
      </c>
      <c r="B27" s="122"/>
      <c r="C27" s="122"/>
      <c r="D27" s="122"/>
      <c r="E27" s="123"/>
      <c r="F27" s="123"/>
      <c r="G27" s="370">
        <f>AVERAGE(G24:G25)</f>
        <v>183551.7</v>
      </c>
      <c r="H27" s="370">
        <f t="shared" ref="H27:AG27" si="23">AVERAGE(H24:H25)</f>
        <v>201304.19002779998</v>
      </c>
      <c r="I27" s="124">
        <f t="shared" si="23"/>
        <v>1.1519114627838136</v>
      </c>
      <c r="J27" s="370">
        <f t="shared" si="23"/>
        <v>30831.1</v>
      </c>
      <c r="K27" s="370">
        <f t="shared" si="23"/>
        <v>5818.5</v>
      </c>
      <c r="L27" s="473">
        <f t="shared" si="23"/>
        <v>1.9042800359096335</v>
      </c>
      <c r="M27" s="134">
        <f t="shared" si="23"/>
        <v>0.21</v>
      </c>
      <c r="N27" s="80"/>
      <c r="O27" s="370">
        <f t="shared" si="23"/>
        <v>70172.100000000006</v>
      </c>
      <c r="P27" s="370">
        <f t="shared" si="23"/>
        <v>12247.7</v>
      </c>
      <c r="Q27" s="370">
        <f t="shared" si="23"/>
        <v>5621.5</v>
      </c>
      <c r="R27" s="370">
        <f t="shared" si="23"/>
        <v>3218.75</v>
      </c>
      <c r="S27" s="370">
        <f t="shared" si="23"/>
        <v>1437</v>
      </c>
      <c r="T27" s="80"/>
      <c r="U27" s="134">
        <f t="shared" si="23"/>
        <v>0.18561368076455992</v>
      </c>
      <c r="V27" s="134">
        <f t="shared" si="23"/>
        <v>8.84346322403506E-2</v>
      </c>
      <c r="W27" s="134">
        <f t="shared" si="23"/>
        <v>5.3882843454904905E-2</v>
      </c>
      <c r="X27" s="134">
        <f t="shared" si="23"/>
        <v>2.7928322509108185E-2</v>
      </c>
      <c r="Y27" s="134"/>
      <c r="Z27" s="134">
        <f t="shared" si="23"/>
        <v>5.5130127468186386E-2</v>
      </c>
      <c r="AA27" s="134">
        <f t="shared" si="23"/>
        <v>-5.2845826643950017E-2</v>
      </c>
      <c r="AB27" s="134">
        <f t="shared" si="23"/>
        <v>-3.3688365650969901E-3</v>
      </c>
      <c r="AC27" s="209"/>
      <c r="AD27" s="370">
        <f t="shared" ref="AD27:AE27" si="24">AVERAGE(AD24:AD25)</f>
        <v>4974.7</v>
      </c>
      <c r="AE27" s="370">
        <f t="shared" si="24"/>
        <v>5975.65</v>
      </c>
      <c r="AF27" s="209"/>
      <c r="AG27" s="428">
        <f t="shared" si="23"/>
        <v>-54.279870284687597</v>
      </c>
      <c r="AH27" s="428">
        <f t="shared" ref="AH27:AK27" si="25">AVERAGE(AH24:AH25)</f>
        <v>-24.628336038435059</v>
      </c>
      <c r="AI27" s="428">
        <f t="shared" si="25"/>
        <v>58.175328394627016</v>
      </c>
      <c r="AJ27" s="428">
        <f t="shared" si="25"/>
        <v>-9.7863281448966255</v>
      </c>
      <c r="AK27" s="428">
        <f t="shared" si="25"/>
        <v>2.9378347133588547</v>
      </c>
    </row>
    <row r="28" spans="1:37" ht="15.75" x14ac:dyDescent="0.25">
      <c r="A28" s="113"/>
      <c r="B28" s="113"/>
      <c r="C28" s="113"/>
      <c r="D28" s="113"/>
      <c r="E28" s="68"/>
      <c r="F28" s="68"/>
      <c r="G28" s="366"/>
      <c r="H28" s="366"/>
      <c r="I28" s="108"/>
      <c r="J28" s="366"/>
      <c r="K28" s="366"/>
      <c r="L28" s="108"/>
      <c r="M28" s="139"/>
      <c r="N28" s="68"/>
      <c r="O28" s="394"/>
      <c r="P28" s="394"/>
      <c r="Q28" s="394"/>
      <c r="R28" s="394"/>
      <c r="S28" s="394"/>
      <c r="T28" s="68"/>
      <c r="U28" s="115"/>
      <c r="V28" s="115"/>
      <c r="W28" s="115"/>
      <c r="X28" s="115"/>
      <c r="Y28" s="68"/>
      <c r="Z28" s="115"/>
      <c r="AA28" s="115"/>
      <c r="AB28" s="115"/>
      <c r="AD28" s="425"/>
      <c r="AE28" s="425"/>
      <c r="AG28" s="426"/>
    </row>
    <row r="29" spans="1:37" ht="15.75" x14ac:dyDescent="0.25">
      <c r="A29" s="150" t="s">
        <v>173</v>
      </c>
      <c r="B29" s="150"/>
      <c r="C29" s="150"/>
      <c r="D29" s="150"/>
      <c r="E29" s="150"/>
      <c r="F29" s="150"/>
      <c r="G29" s="400"/>
      <c r="H29" s="400"/>
      <c r="I29" s="152"/>
      <c r="J29" s="400"/>
      <c r="K29" s="400"/>
      <c r="L29" s="152"/>
      <c r="M29" s="156"/>
      <c r="N29" s="150"/>
      <c r="O29" s="395"/>
      <c r="P29" s="395"/>
      <c r="Q29" s="395"/>
      <c r="R29" s="395"/>
      <c r="S29" s="395"/>
      <c r="T29" s="150"/>
      <c r="U29" s="155"/>
      <c r="V29" s="155"/>
      <c r="W29" s="155"/>
      <c r="X29" s="155"/>
      <c r="Y29" s="150"/>
      <c r="Z29" s="153"/>
      <c r="AA29" s="153"/>
      <c r="AB29" s="153"/>
      <c r="AC29" s="232"/>
      <c r="AD29" s="452"/>
      <c r="AE29" s="452"/>
      <c r="AF29" s="232"/>
      <c r="AG29" s="427"/>
      <c r="AH29" s="232"/>
      <c r="AI29" s="232"/>
      <c r="AJ29" s="232"/>
      <c r="AK29" s="232"/>
    </row>
    <row r="30" spans="1:37" ht="15.75" x14ac:dyDescent="0.25">
      <c r="A30" s="113"/>
      <c r="B30" s="113"/>
      <c r="C30" s="113"/>
      <c r="D30" s="113"/>
      <c r="E30" s="68"/>
      <c r="F30" s="68"/>
      <c r="G30" s="366"/>
      <c r="H30" s="366"/>
      <c r="I30" s="108"/>
      <c r="J30" s="366"/>
      <c r="K30" s="366"/>
      <c r="L30" s="108"/>
      <c r="M30" s="139"/>
      <c r="N30" s="68"/>
      <c r="O30" s="394"/>
      <c r="P30" s="394"/>
      <c r="Q30" s="394"/>
      <c r="R30" s="394"/>
      <c r="S30" s="394"/>
      <c r="T30" s="68"/>
      <c r="U30" s="115"/>
      <c r="V30" s="115"/>
      <c r="W30" s="115"/>
      <c r="X30" s="115"/>
      <c r="Y30" s="68"/>
      <c r="Z30" s="115"/>
      <c r="AA30" s="115"/>
      <c r="AB30" s="115"/>
      <c r="AD30" s="425"/>
      <c r="AE30" s="425"/>
      <c r="AG30" s="426"/>
    </row>
    <row r="31" spans="1:37" ht="15.75" x14ac:dyDescent="0.25">
      <c r="A31" s="125" t="s">
        <v>155</v>
      </c>
      <c r="B31" s="126"/>
      <c r="C31" s="126"/>
      <c r="D31" s="126"/>
      <c r="E31" s="127"/>
      <c r="F31" s="127"/>
      <c r="G31" s="396">
        <f>MEDIAN(G10:G12,G17:G19,G24:G25)</f>
        <v>16729.150000000001</v>
      </c>
      <c r="H31" s="396">
        <f t="shared" ref="H31:AK31" si="26">MEDIAN(H10:H12,H17:H19,H24:H25)</f>
        <v>19957.824855220002</v>
      </c>
      <c r="I31" s="451">
        <f t="shared" si="26"/>
        <v>0.81987796401977542</v>
      </c>
      <c r="J31" s="396">
        <f t="shared" si="26"/>
        <v>3070.8634999999999</v>
      </c>
      <c r="K31" s="396">
        <f t="shared" si="26"/>
        <v>2741.81</v>
      </c>
      <c r="L31" s="469">
        <f t="shared" si="26"/>
        <v>0.57109272649385612</v>
      </c>
      <c r="M31" s="137">
        <f t="shared" si="26"/>
        <v>0.21</v>
      </c>
      <c r="N31" s="128"/>
      <c r="O31" s="396">
        <f t="shared" si="26"/>
        <v>13191.7515</v>
      </c>
      <c r="P31" s="396">
        <f t="shared" si="26"/>
        <v>3487.65</v>
      </c>
      <c r="Q31" s="396">
        <f t="shared" si="26"/>
        <v>710.15</v>
      </c>
      <c r="R31" s="396">
        <f t="shared" si="26"/>
        <v>566.75</v>
      </c>
      <c r="S31" s="396">
        <f t="shared" si="26"/>
        <v>358.45</v>
      </c>
      <c r="T31" s="128"/>
      <c r="U31" s="137">
        <f t="shared" si="26"/>
        <v>0.21299999999999999</v>
      </c>
      <c r="V31" s="137">
        <f t="shared" si="26"/>
        <v>0.10085</v>
      </c>
      <c r="W31" s="137">
        <f t="shared" si="26"/>
        <v>7.603803348512847E-2</v>
      </c>
      <c r="X31" s="137">
        <f t="shared" si="26"/>
        <v>4.6552117263843645E-2</v>
      </c>
      <c r="Y31" s="128"/>
      <c r="Z31" s="137">
        <f t="shared" si="26"/>
        <v>7.4966280895881782E-2</v>
      </c>
      <c r="AA31" s="137">
        <f t="shared" si="26"/>
        <v>-5.4489415584649481E-2</v>
      </c>
      <c r="AB31" s="137">
        <f t="shared" si="26"/>
        <v>8.6400211053950571E-2</v>
      </c>
      <c r="AC31" s="453"/>
      <c r="AD31" s="367">
        <f t="shared" si="26"/>
        <v>805</v>
      </c>
      <c r="AE31" s="367">
        <f t="shared" si="26"/>
        <v>1193.9000000000001</v>
      </c>
      <c r="AF31" s="453"/>
      <c r="AG31" s="331">
        <f t="shared" si="26"/>
        <v>14.697682773163859</v>
      </c>
      <c r="AH31" s="454">
        <f t="shared" si="26"/>
        <v>13.356052128464579</v>
      </c>
      <c r="AI31" s="454">
        <f t="shared" si="26"/>
        <v>17.846242038797875</v>
      </c>
      <c r="AJ31" s="454">
        <f t="shared" si="26"/>
        <v>20.699939462302339</v>
      </c>
      <c r="AK31" s="454">
        <f t="shared" si="26"/>
        <v>1.7303722632937752</v>
      </c>
    </row>
    <row r="32" spans="1:37" ht="15.75" x14ac:dyDescent="0.25">
      <c r="A32" s="129" t="s">
        <v>156</v>
      </c>
      <c r="B32" s="130"/>
      <c r="C32" s="130"/>
      <c r="D32" s="130"/>
      <c r="E32" s="131"/>
      <c r="F32" s="131"/>
      <c r="G32" s="397">
        <f>AVERAGE(G10:G12,G17:G19,G24:G25)</f>
        <v>67618.112500000003</v>
      </c>
      <c r="H32" s="397">
        <f t="shared" ref="H32:AK32" si="27">AVERAGE(H10:H12,H17:H19,H24:H25)</f>
        <v>77583.404231265013</v>
      </c>
      <c r="I32" s="136">
        <f t="shared" si="27"/>
        <v>0.89998512631654748</v>
      </c>
      <c r="J32" s="397">
        <f t="shared" si="27"/>
        <v>13455.825874999999</v>
      </c>
      <c r="K32" s="397">
        <f t="shared" si="27"/>
        <v>12657.95275</v>
      </c>
      <c r="L32" s="470">
        <f t="shared" si="27"/>
        <v>1.2931106973347126</v>
      </c>
      <c r="M32" s="138">
        <f t="shared" si="27"/>
        <v>0.21</v>
      </c>
      <c r="N32" s="132"/>
      <c r="O32" s="397">
        <f t="shared" si="27"/>
        <v>31708.975375000002</v>
      </c>
      <c r="P32" s="397">
        <f t="shared" si="27"/>
        <v>6365.6126249999998</v>
      </c>
      <c r="Q32" s="397">
        <f t="shared" si="27"/>
        <v>3139.9315000000001</v>
      </c>
      <c r="R32" s="397">
        <f t="shared" si="27"/>
        <v>1875.9059999999999</v>
      </c>
      <c r="S32" s="397">
        <f t="shared" si="27"/>
        <v>1252.198875</v>
      </c>
      <c r="T32" s="132"/>
      <c r="U32" s="138">
        <f t="shared" si="27"/>
        <v>0.2407174812681557</v>
      </c>
      <c r="V32" s="138">
        <f t="shared" si="27"/>
        <v>9.9636317450800288E-2</v>
      </c>
      <c r="W32" s="138">
        <f t="shared" si="27"/>
        <v>6.5124658930201001E-2</v>
      </c>
      <c r="X32" s="138">
        <f t="shared" si="27"/>
        <v>4.2197975059807394E-2</v>
      </c>
      <c r="Y32" s="138"/>
      <c r="Z32" s="138">
        <f t="shared" si="27"/>
        <v>7.7910787126224512E-2</v>
      </c>
      <c r="AA32" s="138">
        <f t="shared" si="27"/>
        <v>-5.8388932994983822E-2</v>
      </c>
      <c r="AB32" s="138">
        <f t="shared" si="27"/>
        <v>6.0277812300698404E-2</v>
      </c>
      <c r="AC32" s="209"/>
      <c r="AD32" s="370">
        <f t="shared" si="27"/>
        <v>3265.625</v>
      </c>
      <c r="AE32" s="370">
        <f t="shared" si="27"/>
        <v>3524.2</v>
      </c>
      <c r="AF32" s="209"/>
      <c r="AG32" s="332">
        <f t="shared" si="27"/>
        <v>-1.2232463297866172</v>
      </c>
      <c r="AH32" s="428">
        <f t="shared" si="27"/>
        <v>5.3498486289485498</v>
      </c>
      <c r="AI32" s="428">
        <f t="shared" si="27"/>
        <v>26.61120805803721</v>
      </c>
      <c r="AJ32" s="428">
        <f t="shared" si="27"/>
        <v>16.008224047934561</v>
      </c>
      <c r="AK32" s="428">
        <f t="shared" si="27"/>
        <v>1.922325064005223</v>
      </c>
    </row>
    <row r="33" spans="1:37" ht="15.75" x14ac:dyDescent="0.25">
      <c r="A33" s="113"/>
      <c r="B33" s="113"/>
      <c r="C33" s="113"/>
      <c r="D33" s="113"/>
      <c r="E33" s="68"/>
      <c r="F33" s="68"/>
      <c r="G33" s="366"/>
      <c r="H33" s="366"/>
      <c r="I33" s="108"/>
      <c r="J33" s="366"/>
      <c r="K33" s="366"/>
      <c r="L33" s="471"/>
      <c r="M33" s="139"/>
      <c r="N33" s="68"/>
      <c r="O33" s="394"/>
      <c r="P33" s="394"/>
      <c r="Q33" s="394"/>
      <c r="R33" s="394"/>
      <c r="S33" s="394"/>
      <c r="T33" s="68"/>
      <c r="U33" s="115"/>
      <c r="V33" s="115"/>
      <c r="W33" s="115"/>
      <c r="X33" s="115"/>
      <c r="Y33" s="110"/>
      <c r="Z33" s="115"/>
      <c r="AA33" s="115"/>
      <c r="AB33" s="115"/>
      <c r="AD33" s="425"/>
      <c r="AE33" s="425"/>
      <c r="AG33" s="426"/>
      <c r="AH33" s="426"/>
      <c r="AI33" s="426"/>
      <c r="AJ33" s="426"/>
      <c r="AK33" s="426"/>
    </row>
    <row r="34" spans="1:37" ht="15.75" x14ac:dyDescent="0.25">
      <c r="A34" s="116" t="s">
        <v>174</v>
      </c>
      <c r="B34" s="117"/>
      <c r="C34" s="117"/>
      <c r="D34" s="117"/>
      <c r="E34" s="118"/>
      <c r="F34" s="118"/>
      <c r="G34" s="367">
        <f>MIN(G10:G12,G17:G19,G24:G25)</f>
        <v>6813.4</v>
      </c>
      <c r="H34" s="367">
        <f t="shared" ref="H34:AK34" si="28">MIN(H10:H12,H17:H19,H24:H25)</f>
        <v>7831</v>
      </c>
      <c r="I34" s="119">
        <f t="shared" si="28"/>
        <v>0.75330215692520142</v>
      </c>
      <c r="J34" s="367">
        <f t="shared" si="28"/>
        <v>1003.1</v>
      </c>
      <c r="K34" s="367">
        <f t="shared" si="28"/>
        <v>-15848</v>
      </c>
      <c r="L34" s="472">
        <f t="shared" si="28"/>
        <v>0.11206840094597052</v>
      </c>
      <c r="M34" s="111">
        <f t="shared" si="28"/>
        <v>0.21</v>
      </c>
      <c r="N34" s="55"/>
      <c r="O34" s="367">
        <f t="shared" si="28"/>
        <v>5051.6000000000004</v>
      </c>
      <c r="P34" s="367">
        <f t="shared" si="28"/>
        <v>902</v>
      </c>
      <c r="Q34" s="367">
        <f t="shared" si="28"/>
        <v>-1222</v>
      </c>
      <c r="R34" s="367">
        <f t="shared" si="28"/>
        <v>-3547</v>
      </c>
      <c r="S34" s="367">
        <f t="shared" si="28"/>
        <v>-4935</v>
      </c>
      <c r="T34" s="55"/>
      <c r="U34" s="111">
        <f t="shared" si="28"/>
        <v>4.6227361529119805E-2</v>
      </c>
      <c r="V34" s="111">
        <f t="shared" si="28"/>
        <v>-1.6130735519298802E-2</v>
      </c>
      <c r="W34" s="111">
        <f t="shared" si="28"/>
        <v>-4.68213738845768E-2</v>
      </c>
      <c r="X34" s="111">
        <f t="shared" si="28"/>
        <v>-6.5143354981783627E-2</v>
      </c>
      <c r="Y34" s="111"/>
      <c r="Z34" s="111">
        <f t="shared" si="28"/>
        <v>4.0870664980363403E-2</v>
      </c>
      <c r="AA34" s="111">
        <f t="shared" si="28"/>
        <v>-0.25103385951298096</v>
      </c>
      <c r="AB34" s="111">
        <f t="shared" si="28"/>
        <v>-8.43E-2</v>
      </c>
      <c r="AC34" s="453"/>
      <c r="AD34" s="367">
        <f t="shared" si="28"/>
        <v>-2259</v>
      </c>
      <c r="AE34" s="367">
        <f t="shared" si="28"/>
        <v>351.8</v>
      </c>
      <c r="AF34" s="453"/>
      <c r="AG34" s="333">
        <f t="shared" si="28"/>
        <v>-128.28271690310964</v>
      </c>
      <c r="AH34" s="454">
        <f t="shared" si="28"/>
        <v>-69.394192145019915</v>
      </c>
      <c r="AI34" s="454">
        <f t="shared" si="28"/>
        <v>12.595552206147719</v>
      </c>
      <c r="AJ34" s="454">
        <f t="shared" si="28"/>
        <v>-44.195511715703411</v>
      </c>
      <c r="AK34" s="454">
        <f t="shared" si="28"/>
        <v>1.159270358306189</v>
      </c>
    </row>
    <row r="35" spans="1:37" ht="15.75" x14ac:dyDescent="0.25">
      <c r="A35" s="121" t="s">
        <v>175</v>
      </c>
      <c r="B35" s="122"/>
      <c r="C35" s="122"/>
      <c r="D35" s="122"/>
      <c r="E35" s="123"/>
      <c r="F35" s="123"/>
      <c r="G35" s="370">
        <f>MAX(G10:G12,G17:G19,G24:G25)</f>
        <v>249103.4</v>
      </c>
      <c r="H35" s="370">
        <f t="shared" ref="H35:AK35" si="29">MAX(H10:H12,H17:H19,H24:H25)</f>
        <v>245846.9</v>
      </c>
      <c r="I35" s="124">
        <f t="shared" si="29"/>
        <v>1.2030000000000001</v>
      </c>
      <c r="J35" s="370">
        <f t="shared" si="29"/>
        <v>58582</v>
      </c>
      <c r="K35" s="370">
        <f t="shared" si="29"/>
        <v>74214</v>
      </c>
      <c r="L35" s="473">
        <f t="shared" si="29"/>
        <v>3.6964916708732964</v>
      </c>
      <c r="M35" s="134">
        <f t="shared" si="29"/>
        <v>0.21</v>
      </c>
      <c r="N35" s="80"/>
      <c r="O35" s="370">
        <f t="shared" si="29"/>
        <v>75756</v>
      </c>
      <c r="P35" s="370">
        <f t="shared" si="29"/>
        <v>20993.4</v>
      </c>
      <c r="Q35" s="370">
        <f t="shared" si="29"/>
        <v>12465</v>
      </c>
      <c r="R35" s="370">
        <f t="shared" si="29"/>
        <v>9984.5</v>
      </c>
      <c r="S35" s="370">
        <f t="shared" si="29"/>
        <v>7809</v>
      </c>
      <c r="T35" s="80"/>
      <c r="U35" s="134">
        <f t="shared" si="29"/>
        <v>0.49387400368633433</v>
      </c>
      <c r="V35" s="134">
        <f t="shared" si="29"/>
        <v>0.193</v>
      </c>
      <c r="W35" s="134">
        <f t="shared" si="29"/>
        <v>0.15458706079438661</v>
      </c>
      <c r="X35" s="134">
        <f t="shared" si="29"/>
        <v>0.121</v>
      </c>
      <c r="Y35" s="134"/>
      <c r="Z35" s="134">
        <f t="shared" si="29"/>
        <v>0.14600633741258751</v>
      </c>
      <c r="AA35" s="134">
        <f t="shared" si="29"/>
        <v>0.10879955018273813</v>
      </c>
      <c r="AB35" s="134">
        <f t="shared" si="29"/>
        <v>0.1246</v>
      </c>
      <c r="AC35" s="209"/>
      <c r="AD35" s="370">
        <f t="shared" si="29"/>
        <v>12208.4</v>
      </c>
      <c r="AE35" s="370">
        <f t="shared" si="29"/>
        <v>12050</v>
      </c>
      <c r="AF35" s="209"/>
      <c r="AG35" s="334">
        <f t="shared" si="29"/>
        <v>28.144200634464692</v>
      </c>
      <c r="AH35" s="428">
        <f t="shared" si="29"/>
        <v>22.924461376124402</v>
      </c>
      <c r="AI35" s="428">
        <f t="shared" si="29"/>
        <v>92.375651181850316</v>
      </c>
      <c r="AJ35" s="428">
        <f t="shared" si="29"/>
        <v>42.88896830788098</v>
      </c>
      <c r="AK35" s="428">
        <f t="shared" si="29"/>
        <v>3.8063748486565658</v>
      </c>
    </row>
    <row r="36" spans="1:37" ht="15.75" x14ac:dyDescent="0.25">
      <c r="G36" s="398"/>
      <c r="H36" s="398"/>
      <c r="J36" s="398"/>
      <c r="K36" s="398"/>
      <c r="O36" s="398"/>
      <c r="P36" s="398"/>
      <c r="Q36" s="398"/>
      <c r="R36" s="398"/>
      <c r="S36" s="398"/>
      <c r="AD36" s="425"/>
      <c r="AE36" s="425"/>
      <c r="AG36" s="429"/>
    </row>
    <row r="37" spans="1:37" ht="15.75" x14ac:dyDescent="0.25">
      <c r="A37" s="202" t="s">
        <v>176</v>
      </c>
      <c r="B37" s="232"/>
      <c r="C37" s="232"/>
      <c r="D37" s="339">
        <f>SUM(D9,D16,D23)</f>
        <v>1</v>
      </c>
      <c r="E37" s="232"/>
      <c r="F37" s="232"/>
      <c r="G37" s="399"/>
      <c r="H37" s="399"/>
      <c r="I37" s="232"/>
      <c r="J37" s="399"/>
      <c r="K37" s="399"/>
      <c r="L37" s="232"/>
      <c r="M37" s="232"/>
      <c r="N37" s="232"/>
      <c r="O37" s="399"/>
      <c r="P37" s="399"/>
      <c r="Q37" s="399"/>
      <c r="R37" s="399"/>
      <c r="S37" s="399"/>
      <c r="T37" s="232"/>
      <c r="U37" s="232"/>
      <c r="V37" s="232"/>
      <c r="W37" s="232"/>
      <c r="X37" s="232"/>
      <c r="Y37" s="232"/>
      <c r="Z37" s="232"/>
      <c r="AA37" s="232"/>
      <c r="AB37" s="232"/>
      <c r="AC37" s="232"/>
      <c r="AD37" s="452"/>
      <c r="AE37" s="452"/>
      <c r="AF37" s="232"/>
      <c r="AG37" s="430"/>
      <c r="AH37" s="232"/>
      <c r="AI37" s="232"/>
      <c r="AJ37" s="232"/>
      <c r="AK37" s="232"/>
    </row>
    <row r="38" spans="1:37" ht="15.75" x14ac:dyDescent="0.25">
      <c r="G38" s="398"/>
      <c r="H38" s="398"/>
      <c r="J38" s="398"/>
      <c r="K38" s="398"/>
      <c r="O38" s="398"/>
      <c r="P38" s="398"/>
      <c r="Q38" s="398"/>
      <c r="R38" s="398"/>
      <c r="S38" s="398"/>
      <c r="AD38" s="425"/>
      <c r="AE38" s="425"/>
      <c r="AG38" s="429"/>
    </row>
    <row r="39" spans="1:37" ht="15.75" x14ac:dyDescent="0.25">
      <c r="A39" s="62" t="s">
        <v>177</v>
      </c>
      <c r="B39" s="335"/>
      <c r="C39" s="335"/>
      <c r="D39" s="340">
        <f>SUM(D10:D12,D17:D19,D24:D25)</f>
        <v>1</v>
      </c>
      <c r="E39" s="335"/>
      <c r="F39" s="335"/>
      <c r="G39" s="373">
        <f>SUM(G10*$D$10,G11*$D$11,G12*$D$12,G17*$D$17,G18*$D$18,G25*$D$25,G24*$D$24,G19*$D$19)</f>
        <v>33360.19666666667</v>
      </c>
      <c r="H39" s="373">
        <f t="shared" ref="H39:AK39" si="30">SUM(H10*$D$10,H11*$D$11,H12*$D$12,H17*$D$17,H18*$D$18,H25*$D$25,H24*$D$24,H19*$D$19)</f>
        <v>40058.977806618401</v>
      </c>
      <c r="I39" s="220">
        <f t="shared" si="30"/>
        <v>0.83172011782646182</v>
      </c>
      <c r="J39" s="373">
        <f t="shared" si="30"/>
        <v>7716.208066666667</v>
      </c>
      <c r="K39" s="373">
        <f t="shared" si="30"/>
        <v>11020.867733333333</v>
      </c>
      <c r="L39" s="220">
        <f t="shared" si="30"/>
        <v>1.300534206078543</v>
      </c>
      <c r="M39" s="221">
        <f t="shared" si="30"/>
        <v>0.20999999999999996</v>
      </c>
      <c r="N39" s="53"/>
      <c r="O39" s="373">
        <f t="shared" si="30"/>
        <v>19206.713266666669</v>
      </c>
      <c r="P39" s="373">
        <f t="shared" si="30"/>
        <v>4441.4528666666665</v>
      </c>
      <c r="Q39" s="373">
        <f t="shared" si="30"/>
        <v>2092.0630666666666</v>
      </c>
      <c r="R39" s="373">
        <f t="shared" si="30"/>
        <v>1301.3266000000001</v>
      </c>
      <c r="S39" s="373">
        <f t="shared" si="30"/>
        <v>981.51353333333327</v>
      </c>
      <c r="T39" s="53"/>
      <c r="U39" s="221">
        <f t="shared" si="30"/>
        <v>0.26746198320851688</v>
      </c>
      <c r="V39" s="221">
        <f t="shared" si="30"/>
        <v>9.9629107666653671E-2</v>
      </c>
      <c r="W39" s="221">
        <f t="shared" si="30"/>
        <v>6.722052850767174E-2</v>
      </c>
      <c r="X39" s="221">
        <f t="shared" si="30"/>
        <v>4.4373927350047165E-2</v>
      </c>
      <c r="Y39" s="221"/>
      <c r="Z39" s="221">
        <f t="shared" si="30"/>
        <v>8.1341117979828639E-2</v>
      </c>
      <c r="AA39" s="221">
        <f t="shared" si="30"/>
        <v>-5.9481890764034873E-2</v>
      </c>
      <c r="AB39" s="221">
        <f t="shared" si="30"/>
        <v>8.1070602525948832E-2</v>
      </c>
      <c r="AC39" s="335"/>
      <c r="AD39" s="373">
        <f t="shared" si="30"/>
        <v>2332.9046666666668</v>
      </c>
      <c r="AE39" s="373">
        <f t="shared" si="30"/>
        <v>2398.2936666666669</v>
      </c>
      <c r="AF39" s="335"/>
      <c r="AG39" s="457">
        <f>SUM(AG10*$D$10,AG11*$D$11,AG12*$D$12,AG17*$D$17,AG18*$D$18,AG25*$D$25,AG24*$D$24,AG19*$D$19)</f>
        <v>12.638226892642443</v>
      </c>
      <c r="AH39" s="341">
        <f t="shared" si="30"/>
        <v>13.11250529518081</v>
      </c>
      <c r="AI39" s="341">
        <f t="shared" si="30"/>
        <v>18.613358094095247</v>
      </c>
      <c r="AJ39" s="341">
        <f t="shared" si="30"/>
        <v>22.695672311311768</v>
      </c>
      <c r="AK39" s="341">
        <f t="shared" si="30"/>
        <v>1.6364515565575357</v>
      </c>
    </row>
  </sheetData>
  <pageMargins left="0.25" right="0.25" top="0.75" bottom="0.75" header="0.3" footer="0.3"/>
  <pageSetup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B35F-C842-4863-A08C-9D63DC2EFA2C}">
  <sheetPr>
    <pageSetUpPr fitToPage="1"/>
  </sheetPr>
  <dimension ref="B1:W26"/>
  <sheetViews>
    <sheetView showGridLines="0" zoomScale="90" zoomScaleNormal="90" workbookViewId="0"/>
  </sheetViews>
  <sheetFormatPr defaultColWidth="8.85546875" defaultRowHeight="15" x14ac:dyDescent="0.25"/>
  <cols>
    <col min="1" max="1" width="2.85546875" customWidth="1"/>
    <col min="14" max="18" width="12.85546875" customWidth="1"/>
    <col min="19" max="19" width="16" customWidth="1"/>
    <col min="20" max="20" width="12.85546875" customWidth="1"/>
    <col min="21" max="21" width="18.42578125" customWidth="1"/>
    <col min="22" max="22" width="17.28515625" customWidth="1"/>
  </cols>
  <sheetData>
    <row r="1" spans="2:23" s="232" customFormat="1" x14ac:dyDescent="0.25">
      <c r="B1" s="201"/>
      <c r="C1" s="201"/>
      <c r="D1" s="201"/>
      <c r="E1" s="201"/>
      <c r="F1" s="201"/>
      <c r="G1" s="201"/>
      <c r="H1" s="201"/>
      <c r="I1" s="201"/>
      <c r="J1" s="201"/>
      <c r="K1" s="201"/>
      <c r="L1" s="201"/>
      <c r="M1" s="201"/>
      <c r="N1" s="201"/>
      <c r="O1" s="201"/>
      <c r="P1" s="201"/>
      <c r="Q1" s="201"/>
      <c r="R1" s="201"/>
      <c r="S1" s="201"/>
      <c r="T1" s="201"/>
      <c r="U1" s="201"/>
      <c r="V1" s="201"/>
    </row>
    <row r="2" spans="2:23" s="232" customFormat="1" ht="34.5" x14ac:dyDescent="0.45">
      <c r="B2" s="423" t="s">
        <v>62</v>
      </c>
      <c r="C2" s="201"/>
      <c r="D2" s="201"/>
      <c r="E2" s="201"/>
      <c r="F2" s="201"/>
      <c r="G2" s="201"/>
      <c r="H2" s="201"/>
      <c r="I2" s="201"/>
      <c r="J2" s="201"/>
      <c r="K2" s="201"/>
      <c r="L2" s="201"/>
      <c r="M2" s="201"/>
      <c r="N2" s="201"/>
      <c r="O2" s="201"/>
      <c r="P2" s="201"/>
      <c r="Q2" s="201"/>
      <c r="R2" s="201"/>
      <c r="S2" s="201"/>
      <c r="T2" s="201"/>
      <c r="U2" s="201"/>
      <c r="V2" s="201"/>
    </row>
    <row r="3" spans="2:23" ht="22.5" x14ac:dyDescent="0.3">
      <c r="B3" s="225"/>
      <c r="C3" s="3"/>
      <c r="D3" s="3"/>
      <c r="E3" s="3"/>
      <c r="F3" s="3"/>
      <c r="G3" s="3"/>
      <c r="H3" s="3"/>
      <c r="I3" s="3"/>
      <c r="J3" s="3"/>
      <c r="K3" s="3"/>
      <c r="L3" s="3"/>
      <c r="M3" s="3"/>
      <c r="N3" s="3"/>
      <c r="O3" s="3"/>
      <c r="P3" s="3"/>
      <c r="Q3" s="3"/>
      <c r="R3" s="3"/>
      <c r="S3" s="3"/>
      <c r="T3" s="3"/>
      <c r="U3" s="3"/>
      <c r="V3" s="3"/>
      <c r="W3" s="3"/>
    </row>
    <row r="4" spans="2:23" ht="15.75" x14ac:dyDescent="0.25">
      <c r="B4" s="497" t="s">
        <v>63</v>
      </c>
      <c r="C4" s="497"/>
      <c r="D4" s="497"/>
      <c r="E4" s="497"/>
      <c r="F4" s="497"/>
      <c r="G4" s="497"/>
      <c r="H4" s="497"/>
      <c r="I4" s="497"/>
      <c r="J4" s="497"/>
      <c r="K4" s="497"/>
      <c r="L4" s="497"/>
      <c r="M4" s="3"/>
      <c r="N4" s="497" t="s">
        <v>64</v>
      </c>
      <c r="O4" s="497"/>
      <c r="P4" s="497"/>
      <c r="Q4" s="497"/>
      <c r="R4" s="497"/>
      <c r="S4" s="497"/>
      <c r="T4" s="497"/>
      <c r="U4" s="497"/>
      <c r="V4" s="497"/>
    </row>
    <row r="5" spans="2:23" x14ac:dyDescent="0.25">
      <c r="B5" s="83" t="s">
        <v>65</v>
      </c>
      <c r="C5" s="82"/>
      <c r="D5" s="82"/>
      <c r="E5" s="82"/>
      <c r="F5" s="82"/>
      <c r="G5" s="3"/>
      <c r="H5" s="83" t="s">
        <v>66</v>
      </c>
      <c r="I5" s="82"/>
      <c r="J5" s="82"/>
      <c r="K5" s="82"/>
      <c r="L5" s="82"/>
      <c r="M5" s="3"/>
      <c r="N5" s="83" t="s">
        <v>67</v>
      </c>
      <c r="O5" s="83"/>
      <c r="P5" s="83"/>
      <c r="Q5" s="84" t="s">
        <v>68</v>
      </c>
      <c r="R5" s="84" t="s">
        <v>69</v>
      </c>
      <c r="S5" s="163" t="s">
        <v>70</v>
      </c>
      <c r="T5" s="164" t="s">
        <v>71</v>
      </c>
      <c r="U5" s="165" t="s">
        <v>72</v>
      </c>
      <c r="V5" s="84" t="s">
        <v>73</v>
      </c>
    </row>
    <row r="6" spans="2:23" x14ac:dyDescent="0.25">
      <c r="B6" s="3"/>
      <c r="C6" s="3" t="s">
        <v>74</v>
      </c>
      <c r="D6" s="3"/>
      <c r="E6" s="3"/>
      <c r="F6" s="410">
        <f>'Comparable Companies'!G7</f>
        <v>15333.3</v>
      </c>
      <c r="G6" s="3"/>
      <c r="H6" s="3"/>
      <c r="I6" s="3" t="s">
        <v>75</v>
      </c>
      <c r="J6" s="3"/>
      <c r="K6" s="3"/>
      <c r="L6" s="410">
        <f>'Income Statement'!G24</f>
        <v>199</v>
      </c>
      <c r="M6" s="3"/>
      <c r="N6" s="3" t="str">
        <f>'Comparable Companies'!A9</f>
        <v>Tier 1: Closely Comparable</v>
      </c>
      <c r="O6" s="3"/>
      <c r="P6" s="3"/>
      <c r="Q6" s="407">
        <f>'Comparable Companies'!I13</f>
        <v>0.78700000000000003</v>
      </c>
      <c r="R6" s="408">
        <f>'Comparable Companies'!J13</f>
        <v>8494.7635000000009</v>
      </c>
      <c r="S6" s="408">
        <f>'Comparable Companies'!K13</f>
        <v>8152.0010000000002</v>
      </c>
      <c r="T6" s="407">
        <f>'Comparable Companies'!L13</f>
        <v>1.997911943401486</v>
      </c>
      <c r="U6" s="409">
        <f>'Comparable Companies'!M13</f>
        <v>0.21</v>
      </c>
      <c r="V6" s="95">
        <f>Q6/(1+(1-U6)*T6)</f>
        <v>0.30523391592902105</v>
      </c>
    </row>
    <row r="7" spans="2:23" x14ac:dyDescent="0.25">
      <c r="B7" s="3"/>
      <c r="C7" s="3" t="s">
        <v>76</v>
      </c>
      <c r="D7" s="3"/>
      <c r="E7" s="3"/>
      <c r="F7" s="410">
        <f>'Balance Sheet'!G56</f>
        <v>991</v>
      </c>
      <c r="G7" s="3"/>
      <c r="H7" s="3"/>
      <c r="I7" s="3" t="s">
        <v>77</v>
      </c>
      <c r="J7" s="3"/>
      <c r="K7" s="3"/>
      <c r="L7" s="91">
        <f>(('Balance Sheet'!G56+'Balance Sheet'!G70)+('Balance Sheet'!F56+'Balance Sheet'!F70))/2</f>
        <v>4997.5</v>
      </c>
      <c r="M7" s="3"/>
      <c r="N7" s="3" t="str">
        <f>'Comparable Companies'!A16</f>
        <v>Tier 2: Comparable with Broader Operations</v>
      </c>
      <c r="O7" s="3"/>
      <c r="P7" s="3"/>
      <c r="Q7" s="407">
        <f>'Comparable Companies'!I20</f>
        <v>0.81200000000000006</v>
      </c>
      <c r="R7" s="408">
        <f>'Comparable Companies'!J20</f>
        <v>3570.2</v>
      </c>
      <c r="S7" s="408">
        <f>'Comparable Companies'!K20</f>
        <v>7233</v>
      </c>
      <c r="T7" s="407">
        <f>'Comparable Companies'!L20</f>
        <v>0.45619424906351902</v>
      </c>
      <c r="U7" s="409">
        <f>'Comparable Companies'!M20</f>
        <v>0.21</v>
      </c>
      <c r="V7" s="95">
        <f t="shared" ref="V7:V8" si="0">Q7/(1+(1-U7)*T7)</f>
        <v>0.59688614052423017</v>
      </c>
    </row>
    <row r="8" spans="2:23" x14ac:dyDescent="0.25">
      <c r="B8" s="3"/>
      <c r="C8" s="3" t="s">
        <v>78</v>
      </c>
      <c r="D8" s="3"/>
      <c r="E8" s="3"/>
      <c r="F8" s="410">
        <f>'Balance Sheet'!G70</f>
        <v>3928</v>
      </c>
      <c r="G8" s="3"/>
      <c r="H8" s="3"/>
      <c r="I8" s="3"/>
      <c r="J8" s="3"/>
      <c r="K8" s="3"/>
      <c r="L8" s="3"/>
      <c r="M8" s="3"/>
      <c r="N8" s="3" t="str">
        <f>'Comparable Companies'!A23</f>
        <v xml:space="preserve">Tier 3: Comparable with Diversified Sectors </v>
      </c>
      <c r="O8" s="3"/>
      <c r="P8" s="3"/>
      <c r="Q8" s="407">
        <f>'Comparable Companies'!I26</f>
        <v>1.1519114627838136</v>
      </c>
      <c r="R8" s="408">
        <f>'Comparable Companies'!J26</f>
        <v>30831.100000000002</v>
      </c>
      <c r="S8" s="408">
        <f>'Comparable Companies'!K26</f>
        <v>5818.5</v>
      </c>
      <c r="T8" s="407">
        <f>'Comparable Companies'!L26</f>
        <v>1.9042800359096335</v>
      </c>
      <c r="U8" s="409">
        <f>'Comparable Companies'!M26</f>
        <v>0.21</v>
      </c>
      <c r="V8" s="95">
        <f t="shared" si="0"/>
        <v>0.45995851180141012</v>
      </c>
    </row>
    <row r="9" spans="2:23" x14ac:dyDescent="0.25">
      <c r="B9" s="3"/>
      <c r="C9" s="3"/>
      <c r="D9" s="3"/>
      <c r="E9" s="3"/>
      <c r="F9" s="23"/>
      <c r="G9" s="3"/>
      <c r="H9" s="3"/>
      <c r="I9" s="3"/>
      <c r="J9" s="3"/>
      <c r="K9" s="3"/>
      <c r="L9" s="87"/>
      <c r="M9" s="3"/>
      <c r="N9" s="3"/>
      <c r="O9" s="3"/>
      <c r="P9" s="3"/>
      <c r="Q9" s="6"/>
      <c r="R9" s="3"/>
      <c r="S9" s="3"/>
      <c r="T9" s="23"/>
      <c r="U9" s="3"/>
      <c r="V9" s="3"/>
    </row>
    <row r="10" spans="2:23" x14ac:dyDescent="0.25">
      <c r="B10" s="3"/>
      <c r="C10" s="3" t="s">
        <v>79</v>
      </c>
      <c r="D10" s="3"/>
      <c r="E10" s="3"/>
      <c r="F10" s="465">
        <f>F7/SUM(F6:F8)</f>
        <v>4.8932713815220991E-2</v>
      </c>
      <c r="G10" s="3"/>
      <c r="H10" s="3"/>
      <c r="I10" s="3"/>
      <c r="J10" s="3"/>
      <c r="K10" s="3"/>
      <c r="L10" s="87"/>
      <c r="M10" s="3"/>
      <c r="N10" s="3"/>
      <c r="O10" s="3"/>
      <c r="P10" s="3"/>
      <c r="Q10" s="85"/>
      <c r="R10" s="88"/>
      <c r="S10" s="88"/>
      <c r="T10" s="89"/>
      <c r="U10" s="86"/>
      <c r="V10" s="85"/>
    </row>
    <row r="11" spans="2:23" x14ac:dyDescent="0.25">
      <c r="B11" s="3"/>
      <c r="C11" s="3" t="s">
        <v>80</v>
      </c>
      <c r="D11" s="3"/>
      <c r="E11" s="3"/>
      <c r="F11" s="465">
        <f>F8/SUM(F6:F8)</f>
        <v>0.19395327938061357</v>
      </c>
      <c r="G11" s="3"/>
      <c r="H11" s="3"/>
      <c r="I11" s="3"/>
      <c r="J11" s="3"/>
      <c r="K11" s="3"/>
      <c r="L11" s="87"/>
      <c r="M11" s="3"/>
      <c r="N11" s="483" t="s">
        <v>290</v>
      </c>
      <c r="O11" s="287"/>
      <c r="P11" s="287"/>
      <c r="Q11" s="96">
        <f>(Q6*'Comparable Companies'!$D$9)+(Q7*'Comparable Companies'!$D$16)+(Q8*'Comparable Companies'!$D$23)</f>
        <v>0.81739468776702884</v>
      </c>
      <c r="R11" s="97">
        <f>(R6*'Comparable Companies'!$D$9)+(R7*'Comparable Companies'!$D$16)+(R8*'Comparable Companies'!$D$23)</f>
        <v>8160.5920999999998</v>
      </c>
      <c r="S11" s="496">
        <f>(S6*'Comparable Companies'!$D$9)+(S7*'Comparable Companies'!$D$16)+(S8*'Comparable Companies'!$D$23)</f>
        <v>7699.5306</v>
      </c>
      <c r="T11" s="96">
        <f>(T6*'Comparable Companies'!$D$9)+(T7*'Comparable Companies'!$D$16)+(T8*'Comparable Companies'!$D$23)</f>
        <v>1.4681100128770659</v>
      </c>
      <c r="U11" s="98">
        <f>(U6*'Comparable Companies'!$D$9)+(U7*'Comparable Companies'!$D$16)+(U8*'Comparable Companies'!$D$23)</f>
        <v>0.21000000000000002</v>
      </c>
      <c r="V11" s="96">
        <f>(V6*'Comparable Companies'!$D$9)+(V7*'Comparable Companies'!$D$16)+(V8*'Comparable Companies'!$D$23)</f>
        <v>0.41367914804373551</v>
      </c>
    </row>
    <row r="12" spans="2:23" x14ac:dyDescent="0.25">
      <c r="B12" s="3"/>
      <c r="C12" s="3" t="s">
        <v>81</v>
      </c>
      <c r="D12" s="3"/>
      <c r="E12" s="3"/>
      <c r="F12" s="465">
        <f>F6/SUM(F6:F8)</f>
        <v>0.75711400680416541</v>
      </c>
      <c r="G12" s="3"/>
      <c r="H12" s="3"/>
      <c r="I12" s="90" t="s">
        <v>82</v>
      </c>
      <c r="J12" s="90"/>
      <c r="K12" s="90"/>
      <c r="L12" s="467">
        <f>L6/L7</f>
        <v>3.9819909954977487E-2</v>
      </c>
      <c r="M12" s="3"/>
      <c r="N12" s="3"/>
      <c r="O12" s="3"/>
      <c r="P12" s="3"/>
      <c r="Q12" s="3"/>
      <c r="R12" s="3"/>
      <c r="S12" s="3"/>
      <c r="T12" s="3"/>
      <c r="U12" s="3"/>
      <c r="V12" s="3"/>
    </row>
    <row r="13" spans="2:23" ht="15.75" x14ac:dyDescent="0.25">
      <c r="B13" s="3"/>
      <c r="C13" s="3"/>
      <c r="D13" s="3"/>
      <c r="E13" s="3"/>
      <c r="F13" s="92"/>
      <c r="G13" s="3"/>
      <c r="H13" s="3"/>
      <c r="I13" s="3"/>
      <c r="J13" s="3"/>
      <c r="K13" s="3"/>
      <c r="L13" s="3"/>
      <c r="M13" s="3"/>
      <c r="N13" s="497" t="s">
        <v>291</v>
      </c>
      <c r="O13" s="497"/>
      <c r="P13" s="497"/>
      <c r="Q13" s="497"/>
      <c r="R13" s="497"/>
      <c r="S13" s="497"/>
      <c r="T13" s="497"/>
      <c r="U13" s="497"/>
      <c r="V13" s="497"/>
    </row>
    <row r="14" spans="2:23" ht="32.1" customHeight="1" x14ac:dyDescent="0.25">
      <c r="B14" s="83" t="s">
        <v>32</v>
      </c>
      <c r="C14" s="82"/>
      <c r="D14" s="82"/>
      <c r="E14" s="82"/>
      <c r="F14" s="93"/>
      <c r="G14" s="3"/>
      <c r="H14" s="83" t="s">
        <v>83</v>
      </c>
      <c r="I14" s="82"/>
      <c r="J14" s="82"/>
      <c r="K14" s="82"/>
      <c r="L14" s="82"/>
      <c r="M14" s="3"/>
      <c r="N14" s="84"/>
      <c r="O14" s="84"/>
      <c r="P14" s="84"/>
      <c r="Q14" s="84"/>
      <c r="R14" s="84"/>
      <c r="S14" s="323" t="s">
        <v>84</v>
      </c>
      <c r="T14" s="323" t="s">
        <v>71</v>
      </c>
      <c r="U14" s="323" t="s">
        <v>72</v>
      </c>
      <c r="V14" s="323" t="s">
        <v>85</v>
      </c>
    </row>
    <row r="15" spans="2:23" ht="15" customHeight="1" x14ac:dyDescent="0.25">
      <c r="B15" s="3"/>
      <c r="C15" s="3" t="s">
        <v>86</v>
      </c>
      <c r="D15" s="3"/>
      <c r="E15" s="3"/>
      <c r="F15" s="465">
        <f>F11+F10</f>
        <v>0.24288599319583457</v>
      </c>
      <c r="G15" s="3"/>
      <c r="H15" s="3"/>
      <c r="I15" s="3" t="s">
        <v>87</v>
      </c>
      <c r="J15" s="3"/>
      <c r="K15" s="3"/>
      <c r="L15" s="481">
        <v>4.5699999999999998E-2</v>
      </c>
      <c r="M15" s="3"/>
      <c r="N15" s="3" t="s">
        <v>85</v>
      </c>
      <c r="O15" s="3"/>
      <c r="P15" s="3"/>
      <c r="Q15" s="3"/>
      <c r="R15" s="3"/>
      <c r="S15" s="95">
        <f>V11</f>
        <v>0.41367914804373551</v>
      </c>
      <c r="T15" s="95">
        <f>T11</f>
        <v>1.4681100128770659</v>
      </c>
      <c r="U15" s="99">
        <f>U11</f>
        <v>0.21000000000000002</v>
      </c>
      <c r="V15" s="95">
        <f>S15*((1+U15)*T15)</f>
        <v>0.73486506422736919</v>
      </c>
    </row>
    <row r="16" spans="2:23" ht="15" customHeight="1" x14ac:dyDescent="0.25">
      <c r="B16" s="3"/>
      <c r="C16" s="3" t="s">
        <v>81</v>
      </c>
      <c r="D16" s="3"/>
      <c r="E16" s="3"/>
      <c r="F16" s="465">
        <f>1-F15</f>
        <v>0.75711400680416541</v>
      </c>
      <c r="G16" s="3"/>
      <c r="H16" s="3"/>
      <c r="I16" s="3" t="s">
        <v>88</v>
      </c>
      <c r="J16" s="3"/>
      <c r="K16" s="3"/>
      <c r="L16" s="481">
        <v>0.13</v>
      </c>
      <c r="M16" s="3"/>
      <c r="N16" s="3"/>
      <c r="O16" s="3"/>
      <c r="P16" s="3"/>
      <c r="Q16" s="3"/>
      <c r="R16" s="3"/>
      <c r="S16" s="23"/>
      <c r="T16" s="23"/>
      <c r="U16" s="23"/>
      <c r="V16" s="23"/>
    </row>
    <row r="17" spans="2:23" ht="15" customHeight="1" x14ac:dyDescent="0.25">
      <c r="B17" s="3"/>
      <c r="C17" s="3" t="str">
        <f>I12</f>
        <v>Pre-tax Cost of Debt</v>
      </c>
      <c r="D17" s="3"/>
      <c r="E17" s="3"/>
      <c r="F17" s="466">
        <f>L12</f>
        <v>3.9819909954977487E-2</v>
      </c>
      <c r="G17" s="3"/>
      <c r="H17" s="3"/>
      <c r="I17" s="3" t="s">
        <v>89</v>
      </c>
      <c r="J17" s="3"/>
      <c r="K17" s="3"/>
      <c r="L17" s="468">
        <f>L16-L15</f>
        <v>8.4300000000000014E-2</v>
      </c>
      <c r="M17" s="3"/>
      <c r="N17" s="288" t="s">
        <v>90</v>
      </c>
      <c r="O17" s="288"/>
      <c r="P17" s="200"/>
      <c r="Q17" s="200"/>
      <c r="R17" s="200"/>
      <c r="S17" s="200"/>
      <c r="T17" s="200"/>
      <c r="U17" s="200"/>
      <c r="V17" s="262"/>
      <c r="W17" s="241"/>
    </row>
    <row r="18" spans="2:23" ht="15" customHeight="1" x14ac:dyDescent="0.25">
      <c r="B18" s="3"/>
      <c r="C18" s="3" t="str">
        <f>I21</f>
        <v>Cost of Equity</v>
      </c>
      <c r="D18" s="3"/>
      <c r="E18" s="3"/>
      <c r="F18" s="466">
        <f>L21</f>
        <v>0.10764912491436723</v>
      </c>
      <c r="G18" s="3"/>
      <c r="H18" s="3"/>
      <c r="I18" s="3"/>
      <c r="J18" s="3"/>
      <c r="K18" s="3"/>
      <c r="L18" s="23"/>
      <c r="M18" s="3"/>
      <c r="N18" s="240"/>
      <c r="O18" s="240"/>
      <c r="P18" s="240"/>
      <c r="Q18" s="240"/>
      <c r="R18" s="240"/>
      <c r="S18" s="240"/>
      <c r="T18" s="240"/>
      <c r="U18" s="240"/>
      <c r="V18" s="240"/>
      <c r="W18" s="240"/>
    </row>
    <row r="19" spans="2:23" ht="15" customHeight="1" x14ac:dyDescent="0.25">
      <c r="B19" s="3"/>
      <c r="C19" s="3" t="s">
        <v>91</v>
      </c>
      <c r="D19" s="3"/>
      <c r="E19" s="3"/>
      <c r="F19" s="480">
        <v>0.21</v>
      </c>
      <c r="G19" s="3"/>
      <c r="H19" s="3"/>
      <c r="I19" s="3" t="s">
        <v>68</v>
      </c>
      <c r="J19" s="3"/>
      <c r="K19" s="3"/>
      <c r="L19" s="94">
        <f>V15</f>
        <v>0.73486506422736919</v>
      </c>
      <c r="M19" s="3"/>
      <c r="N19" s="345"/>
      <c r="O19" s="345"/>
      <c r="P19" s="242" t="s">
        <v>92</v>
      </c>
      <c r="Q19" s="243"/>
      <c r="R19" s="242"/>
      <c r="S19" s="243"/>
      <c r="T19" s="243"/>
      <c r="W19" s="240"/>
    </row>
    <row r="20" spans="2:23" ht="15" customHeight="1" x14ac:dyDescent="0.25">
      <c r="B20" s="3"/>
      <c r="C20" s="3"/>
      <c r="D20" s="3"/>
      <c r="E20" s="3"/>
      <c r="F20" s="23"/>
      <c r="G20" s="3"/>
      <c r="H20" s="3"/>
      <c r="I20" s="3"/>
      <c r="J20" s="3"/>
      <c r="K20" s="3"/>
      <c r="L20" s="23"/>
      <c r="M20" s="3"/>
      <c r="N20" s="240"/>
      <c r="O20" s="290">
        <f>F21</f>
        <v>8.9143302011801581E-2</v>
      </c>
      <c r="P20" s="494">
        <f>Q20-0.005</f>
        <v>2.9819909954977488E-2</v>
      </c>
      <c r="Q20" s="494">
        <f>R20-0.005</f>
        <v>3.4819909954977489E-2</v>
      </c>
      <c r="R20" s="494">
        <v>3.9819909954977487E-2</v>
      </c>
      <c r="S20" s="494">
        <f>R20+0.005</f>
        <v>4.4819909954977484E-2</v>
      </c>
      <c r="T20" s="494">
        <f>S20+0.005</f>
        <v>4.9819909954977482E-2</v>
      </c>
      <c r="W20" s="240"/>
    </row>
    <row r="21" spans="2:23" ht="15" customHeight="1" x14ac:dyDescent="0.25">
      <c r="B21" s="3"/>
      <c r="C21" s="411" t="s">
        <v>32</v>
      </c>
      <c r="D21" s="412"/>
      <c r="E21" s="412"/>
      <c r="F21" s="461">
        <f>F16*F18+(F15*F17)*(1-F19)</f>
        <v>8.9143302011801581E-2</v>
      </c>
      <c r="G21" s="3"/>
      <c r="H21" s="3"/>
      <c r="I21" s="90" t="s">
        <v>83</v>
      </c>
      <c r="J21" s="90"/>
      <c r="K21" s="90"/>
      <c r="L21" s="467">
        <f>L15+L19*(L17)</f>
        <v>0.10764912491436723</v>
      </c>
      <c r="M21" s="3"/>
      <c r="N21" s="503" t="s">
        <v>86</v>
      </c>
      <c r="O21" s="495">
        <f>O22-0.1</f>
        <v>4.2885993195834554E-2</v>
      </c>
      <c r="P21" s="248">
        <f t="dataTable" ref="P21:T25" dt2D="1" dtr="1" r1="F17" r2="F15"/>
        <v>0.10404278187554149</v>
      </c>
      <c r="Q21" s="248">
        <v>0.10421218154866504</v>
      </c>
      <c r="R21" s="248">
        <v>0.10438158122178859</v>
      </c>
      <c r="S21" s="248">
        <v>0.10455098089491213</v>
      </c>
      <c r="T21" s="248">
        <v>0.10472038056803568</v>
      </c>
      <c r="W21" s="240"/>
    </row>
    <row r="22" spans="2:23" ht="15" customHeight="1" x14ac:dyDescent="0.25">
      <c r="B22" s="3"/>
      <c r="C22" s="3"/>
      <c r="D22" s="3"/>
      <c r="E22" s="3"/>
      <c r="F22" s="3"/>
      <c r="G22" s="3"/>
      <c r="H22" s="3"/>
      <c r="I22" s="3"/>
      <c r="J22" s="3"/>
      <c r="K22" s="3"/>
      <c r="L22" s="3"/>
      <c r="M22" s="3"/>
      <c r="N22" s="503"/>
      <c r="O22" s="495">
        <f>O23-0.1</f>
        <v>0.14288599319583456</v>
      </c>
      <c r="P22" s="248">
        <v>9.5633642270547992E-2</v>
      </c>
      <c r="Q22" s="249">
        <v>9.6198041943671528E-2</v>
      </c>
      <c r="R22" s="249">
        <v>9.6762441616795078E-2</v>
      </c>
      <c r="S22" s="249">
        <v>9.7326841289918628E-2</v>
      </c>
      <c r="T22" s="248">
        <v>9.7891240963042178E-2</v>
      </c>
      <c r="W22" s="240"/>
    </row>
    <row r="23" spans="2:23" ht="15" customHeight="1" x14ac:dyDescent="0.25">
      <c r="B23" s="3"/>
      <c r="C23" s="3"/>
      <c r="D23" s="3"/>
      <c r="E23" s="3"/>
      <c r="F23" s="3"/>
      <c r="G23" s="3"/>
      <c r="H23" s="3"/>
      <c r="I23" s="3"/>
      <c r="J23" s="3"/>
      <c r="K23" s="3"/>
      <c r="L23" s="3"/>
      <c r="M23" s="3"/>
      <c r="N23" s="503"/>
      <c r="O23" s="495">
        <v>0.24288599319583457</v>
      </c>
      <c r="P23" s="248">
        <v>8.7224502665554482E-2</v>
      </c>
      <c r="Q23" s="249">
        <v>8.8183902338678025E-2</v>
      </c>
      <c r="R23" s="250">
        <v>8.9143302011801581E-2</v>
      </c>
      <c r="S23" s="249">
        <v>9.0102701684925124E-2</v>
      </c>
      <c r="T23" s="248">
        <v>9.1062101358048667E-2</v>
      </c>
      <c r="W23" s="240"/>
    </row>
    <row r="24" spans="2:23" ht="15" customHeight="1" x14ac:dyDescent="0.25">
      <c r="N24" s="503"/>
      <c r="O24" s="495">
        <f>O23+0.1</f>
        <v>0.34288599319583457</v>
      </c>
      <c r="P24" s="248">
        <v>7.8815363060560972E-2</v>
      </c>
      <c r="Q24" s="249">
        <v>8.0169762733684521E-2</v>
      </c>
      <c r="R24" s="249">
        <v>8.1524162406808071E-2</v>
      </c>
      <c r="S24" s="249">
        <v>8.287856207993162E-2</v>
      </c>
      <c r="T24" s="248">
        <v>8.4232961753055169E-2</v>
      </c>
      <c r="W24" s="240"/>
    </row>
    <row r="25" spans="2:23" ht="15" customHeight="1" x14ac:dyDescent="0.25">
      <c r="N25" s="503"/>
      <c r="O25" s="495">
        <f>O24+0.1</f>
        <v>0.44288599319583455</v>
      </c>
      <c r="P25" s="248">
        <v>7.040622345556749E-2</v>
      </c>
      <c r="Q25" s="248">
        <v>7.2155623128691032E-2</v>
      </c>
      <c r="R25" s="248">
        <v>7.3905022801814574E-2</v>
      </c>
      <c r="S25" s="248">
        <v>7.5654422474938129E-2</v>
      </c>
      <c r="T25" s="248">
        <v>7.7403822148061671E-2</v>
      </c>
      <c r="W25" s="240"/>
    </row>
    <row r="26" spans="2:23" ht="15" customHeight="1" x14ac:dyDescent="0.25"/>
  </sheetData>
  <mergeCells count="1">
    <mergeCell ref="N21:N25"/>
  </mergeCells>
  <pageMargins left="0.7" right="0.7" top="0.75" bottom="0.75" header="0.3" footer="0.3"/>
  <pageSetup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4054-7368-44C2-95B9-2F2C7E1CCA9D}">
  <sheetPr>
    <pageSetUpPr fitToPage="1"/>
  </sheetPr>
  <dimension ref="A1:P22"/>
  <sheetViews>
    <sheetView showGridLines="0" zoomScale="90" zoomScaleNormal="90" workbookViewId="0"/>
  </sheetViews>
  <sheetFormatPr defaultColWidth="8.85546875" defaultRowHeight="15" x14ac:dyDescent="0.25"/>
  <cols>
    <col min="1" max="1" width="2.85546875" customWidth="1"/>
    <col min="6" max="10" width="12.85546875" customWidth="1"/>
    <col min="11" max="11" width="2.85546875" customWidth="1"/>
    <col min="12" max="16" width="12.85546875" customWidth="1"/>
  </cols>
  <sheetData>
    <row r="1" spans="1:16" s="232" customFormat="1" x14ac:dyDescent="0.25"/>
    <row r="2" spans="1:16" s="232" customFormat="1" ht="34.5" x14ac:dyDescent="0.45">
      <c r="B2" s="423" t="s">
        <v>93</v>
      </c>
    </row>
    <row r="3" spans="1:16" ht="27" x14ac:dyDescent="0.35">
      <c r="A3" s="224"/>
    </row>
    <row r="4" spans="1:16" ht="15.75" x14ac:dyDescent="0.25">
      <c r="F4" s="405" t="s">
        <v>94</v>
      </c>
      <c r="G4" s="405" t="s">
        <v>95</v>
      </c>
      <c r="H4" s="405" t="s">
        <v>96</v>
      </c>
      <c r="I4" s="405" t="s">
        <v>97</v>
      </c>
      <c r="J4" s="405" t="s">
        <v>98</v>
      </c>
      <c r="K4" s="406"/>
      <c r="L4" s="405" t="s">
        <v>99</v>
      </c>
      <c r="M4" s="405" t="s">
        <v>100</v>
      </c>
      <c r="N4" s="405" t="s">
        <v>101</v>
      </c>
      <c r="O4" s="405" t="s">
        <v>102</v>
      </c>
      <c r="P4" s="405" t="s">
        <v>103</v>
      </c>
    </row>
    <row r="5" spans="1:16" ht="15.75" x14ac:dyDescent="0.25">
      <c r="A5" s="51"/>
      <c r="B5" s="51"/>
      <c r="F5" s="7"/>
      <c r="G5" s="7"/>
      <c r="H5" s="7"/>
      <c r="I5" s="7"/>
      <c r="J5" s="7"/>
    </row>
    <row r="6" spans="1:16" ht="15.75" x14ac:dyDescent="0.25">
      <c r="B6" s="311" t="s">
        <v>104</v>
      </c>
      <c r="C6" s="270"/>
      <c r="D6" s="270"/>
      <c r="E6" s="270"/>
      <c r="F6" s="313"/>
      <c r="G6" s="313"/>
      <c r="H6" s="313"/>
      <c r="I6" s="313"/>
      <c r="J6" s="313"/>
      <c r="L6" s="270"/>
      <c r="M6" s="270"/>
      <c r="N6" s="270"/>
      <c r="O6" s="270"/>
      <c r="P6" s="270"/>
    </row>
    <row r="7" spans="1:16" ht="15.75" x14ac:dyDescent="0.25">
      <c r="A7" s="51"/>
      <c r="B7" s="51" t="s">
        <v>105</v>
      </c>
      <c r="F7" s="403">
        <f>'Balance Sheet'!C10</f>
        <v>1877</v>
      </c>
      <c r="G7" s="403">
        <f>'Balance Sheet'!D10</f>
        <v>1734</v>
      </c>
      <c r="H7" s="403">
        <f>'Balance Sheet'!E10</f>
        <v>2137</v>
      </c>
      <c r="I7" s="403">
        <f>'Balance Sheet'!F10</f>
        <v>2189</v>
      </c>
      <c r="J7" s="403">
        <f>'Balance Sheet'!G10</f>
        <v>2350</v>
      </c>
      <c r="K7" s="403"/>
      <c r="L7" s="403">
        <f>'Balance Sheet'!I10</f>
        <v>2460.6032074438835</v>
      </c>
      <c r="M7" s="403">
        <f>'Balance Sheet'!J10</f>
        <v>2566.0907913323545</v>
      </c>
      <c r="N7" s="403">
        <f>'Balance Sheet'!K10</f>
        <v>2665.1761085542207</v>
      </c>
      <c r="O7" s="403">
        <f>'Balance Sheet'!L10</f>
        <v>2756.6389817484401</v>
      </c>
      <c r="P7" s="403">
        <f>'Balance Sheet'!M10</f>
        <v>2839.3381512008937</v>
      </c>
    </row>
    <row r="8" spans="1:16" ht="15.75" x14ac:dyDescent="0.25">
      <c r="A8" s="51"/>
      <c r="B8" s="51" t="s">
        <v>106</v>
      </c>
      <c r="F8" s="403">
        <f>'Balance Sheet'!C14</f>
        <v>0</v>
      </c>
      <c r="G8" s="403">
        <f>'Balance Sheet'!D14</f>
        <v>0</v>
      </c>
      <c r="H8" s="403">
        <f>'Balance Sheet'!E14</f>
        <v>276</v>
      </c>
      <c r="I8" s="403">
        <f>'Balance Sheet'!F14</f>
        <v>274</v>
      </c>
      <c r="J8" s="403">
        <f>'Balance Sheet'!G14</f>
        <v>287</v>
      </c>
      <c r="K8" s="403"/>
      <c r="L8" s="403">
        <f>'Balance Sheet'!I14</f>
        <v>351.3733760262237</v>
      </c>
      <c r="M8" s="403">
        <f>'Balance Sheet'!J14</f>
        <v>366.43697033822411</v>
      </c>
      <c r="N8" s="403">
        <f>'Balance Sheet'!K14</f>
        <v>380.58632295287981</v>
      </c>
      <c r="O8" s="403">
        <f>'Balance Sheet'!L14</f>
        <v>393.64719292089728</v>
      </c>
      <c r="P8" s="403">
        <f>'Balance Sheet'!M14</f>
        <v>405.45660870852424</v>
      </c>
    </row>
    <row r="9" spans="1:16" ht="15.75" x14ac:dyDescent="0.25">
      <c r="A9" s="51"/>
      <c r="B9" s="312" t="s">
        <v>107</v>
      </c>
      <c r="C9" s="270"/>
      <c r="D9" s="270"/>
      <c r="E9" s="270"/>
      <c r="F9" s="404">
        <f>'Balance Sheet'!C18</f>
        <v>635</v>
      </c>
      <c r="G9" s="404">
        <f>'Balance Sheet'!D18</f>
        <v>410</v>
      </c>
      <c r="H9" s="404">
        <f>'Balance Sheet'!E18</f>
        <v>402</v>
      </c>
      <c r="I9" s="404">
        <f>'Balance Sheet'!F18</f>
        <v>429</v>
      </c>
      <c r="J9" s="404">
        <f>'Balance Sheet'!G18</f>
        <v>490</v>
      </c>
      <c r="K9" s="403"/>
      <c r="L9" s="404">
        <f>'Balance Sheet'!I18</f>
        <v>492.7679367323143</v>
      </c>
      <c r="M9" s="404">
        <f>'Balance Sheet'!J18</f>
        <v>513.89320345810938</v>
      </c>
      <c r="N9" s="404">
        <f>'Balance Sheet'!K18</f>
        <v>533.73633264699117</v>
      </c>
      <c r="O9" s="404">
        <f>'Balance Sheet'!L18</f>
        <v>552.05296784244968</v>
      </c>
      <c r="P9" s="404">
        <f>'Balance Sheet'!M18</f>
        <v>568.6145568777232</v>
      </c>
    </row>
    <row r="10" spans="1:16" ht="15.75" x14ac:dyDescent="0.25">
      <c r="A10" s="51"/>
      <c r="B10" s="311" t="s">
        <v>108</v>
      </c>
      <c r="C10" s="270"/>
      <c r="D10" s="270"/>
      <c r="E10" s="270"/>
      <c r="F10" s="401">
        <f>SUM(F7:F9)</f>
        <v>2512</v>
      </c>
      <c r="G10" s="401">
        <f t="shared" ref="G10" si="0">SUM(G7:G9)</f>
        <v>2144</v>
      </c>
      <c r="H10" s="401">
        <f t="shared" ref="H10" si="1">SUM(H7:H9)</f>
        <v>2815</v>
      </c>
      <c r="I10" s="401">
        <f t="shared" ref="I10" si="2">SUM(I7:I9)</f>
        <v>2892</v>
      </c>
      <c r="J10" s="401">
        <f t="shared" ref="J10:P10" si="3">SUM(J7:J9)</f>
        <v>3127</v>
      </c>
      <c r="K10" s="384"/>
      <c r="L10" s="401">
        <f t="shared" si="3"/>
        <v>3304.7445202024219</v>
      </c>
      <c r="M10" s="401">
        <f t="shared" si="3"/>
        <v>3446.4209651286878</v>
      </c>
      <c r="N10" s="401">
        <f t="shared" si="3"/>
        <v>3579.498764154092</v>
      </c>
      <c r="O10" s="401">
        <f t="shared" si="3"/>
        <v>3702.339142511787</v>
      </c>
      <c r="P10" s="401">
        <f t="shared" si="3"/>
        <v>3813.4093167871411</v>
      </c>
    </row>
    <row r="11" spans="1:16" ht="15.75" x14ac:dyDescent="0.25">
      <c r="A11" s="51"/>
      <c r="B11" s="51"/>
      <c r="F11" s="366"/>
      <c r="G11" s="366"/>
      <c r="H11" s="366"/>
      <c r="I11" s="366"/>
      <c r="J11" s="366"/>
      <c r="K11" s="398"/>
      <c r="L11" s="398"/>
      <c r="M11" s="398"/>
      <c r="N11" s="398"/>
      <c r="O11" s="398"/>
      <c r="P11" s="398"/>
    </row>
    <row r="12" spans="1:16" ht="15.75" x14ac:dyDescent="0.25">
      <c r="B12" s="311" t="s">
        <v>109</v>
      </c>
      <c r="C12" s="270"/>
      <c r="D12" s="270"/>
      <c r="E12" s="270"/>
      <c r="F12" s="314"/>
      <c r="G12" s="314"/>
      <c r="H12" s="314"/>
      <c r="I12" s="314"/>
      <c r="J12" s="314"/>
      <c r="L12" s="270"/>
      <c r="M12" s="270"/>
      <c r="N12" s="270"/>
      <c r="O12" s="270"/>
      <c r="P12" s="270"/>
    </row>
    <row r="13" spans="1:16" ht="15.75" x14ac:dyDescent="0.25">
      <c r="A13" s="51"/>
      <c r="B13" s="29" t="s">
        <v>110</v>
      </c>
      <c r="F13" s="403">
        <f>'Balance Sheet'!C58</f>
        <v>1491</v>
      </c>
      <c r="G13" s="403">
        <f>'Balance Sheet'!D58</f>
        <v>1837</v>
      </c>
      <c r="H13" s="403">
        <f>'Balance Sheet'!E58</f>
        <v>2175</v>
      </c>
      <c r="I13" s="403">
        <f>'Balance Sheet'!F58</f>
        <v>2141</v>
      </c>
      <c r="J13" s="403">
        <f>'Balance Sheet'!G58</f>
        <v>2254</v>
      </c>
      <c r="K13" s="403"/>
      <c r="L13" s="403">
        <f>'Balance Sheet'!I58</f>
        <v>2351.1506700619098</v>
      </c>
      <c r="M13" s="403">
        <f>'Balance Sheet'!J58</f>
        <v>2449.0680850248978</v>
      </c>
      <c r="N13" s="403">
        <f>'Balance Sheet'!K58</f>
        <v>2540.645770541541</v>
      </c>
      <c r="O13" s="403">
        <f>'Balance Sheet'!L58</f>
        <v>2624.7434708860742</v>
      </c>
      <c r="P13" s="403">
        <f>'Balance Sheet'!M58</f>
        <v>2700.301457256458</v>
      </c>
    </row>
    <row r="14" spans="1:16" ht="15.75" x14ac:dyDescent="0.25">
      <c r="A14" s="51"/>
      <c r="B14" s="29" t="s">
        <v>111</v>
      </c>
      <c r="F14" s="403">
        <f>'Balance Sheet'!C62</f>
        <v>473</v>
      </c>
      <c r="G14" s="403">
        <f>'Balance Sheet'!D62</f>
        <v>435</v>
      </c>
      <c r="H14" s="403">
        <f>'Balance Sheet'!E62</f>
        <v>632</v>
      </c>
      <c r="I14" s="403">
        <f>'Balance Sheet'!F62</f>
        <v>605</v>
      </c>
      <c r="J14" s="403">
        <f>'Balance Sheet'!G62</f>
        <v>701</v>
      </c>
      <c r="K14" s="403"/>
      <c r="L14" s="403">
        <f>'Balance Sheet'!I62</f>
        <v>733.99270145453704</v>
      </c>
      <c r="M14" s="403">
        <f>'Balance Sheet'!J62</f>
        <v>765.45942328680019</v>
      </c>
      <c r="N14" s="403">
        <f>'Balance Sheet'!K62</f>
        <v>795.01636259425902</v>
      </c>
      <c r="O14" s="403">
        <f>'Balance Sheet'!L62</f>
        <v>822.29954306623677</v>
      </c>
      <c r="P14" s="403">
        <f>'Balance Sheet'!M62</f>
        <v>846.96852935822392</v>
      </c>
    </row>
    <row r="15" spans="1:16" ht="15.75" x14ac:dyDescent="0.25">
      <c r="A15" s="51"/>
      <c r="B15" s="317" t="s">
        <v>112</v>
      </c>
      <c r="C15" s="270"/>
      <c r="D15" s="270"/>
      <c r="E15" s="270"/>
      <c r="F15" s="404">
        <f>'Balance Sheet'!C65</f>
        <v>23</v>
      </c>
      <c r="G15" s="404">
        <f>'Balance Sheet'!D65</f>
        <v>0</v>
      </c>
      <c r="H15" s="404">
        <f>'Balance Sheet'!E65</f>
        <v>0</v>
      </c>
      <c r="I15" s="404">
        <f>'Balance Sheet'!F65</f>
        <v>0</v>
      </c>
      <c r="J15" s="404">
        <f>'Balance Sheet'!G65</f>
        <v>0</v>
      </c>
      <c r="K15" s="403"/>
      <c r="L15" s="404">
        <f>'Balance Sheet'!I65</f>
        <v>0</v>
      </c>
      <c r="M15" s="404">
        <f>'Balance Sheet'!J65</f>
        <v>0</v>
      </c>
      <c r="N15" s="404">
        <f>'Balance Sheet'!K65</f>
        <v>0</v>
      </c>
      <c r="O15" s="404">
        <f>'Balance Sheet'!L65</f>
        <v>0</v>
      </c>
      <c r="P15" s="404">
        <f>'Balance Sheet'!M65</f>
        <v>0</v>
      </c>
    </row>
    <row r="16" spans="1:16" ht="15.75" x14ac:dyDescent="0.25">
      <c r="B16" s="311" t="s">
        <v>113</v>
      </c>
      <c r="C16" s="270"/>
      <c r="D16" s="270"/>
      <c r="E16" s="270"/>
      <c r="F16" s="401">
        <f>SUM(F13:F15)</f>
        <v>1987</v>
      </c>
      <c r="G16" s="401">
        <f t="shared" ref="G16:J16" si="4">SUM(G13:G15)</f>
        <v>2272</v>
      </c>
      <c r="H16" s="401">
        <f t="shared" si="4"/>
        <v>2807</v>
      </c>
      <c r="I16" s="401">
        <f t="shared" si="4"/>
        <v>2746</v>
      </c>
      <c r="J16" s="401">
        <f t="shared" si="4"/>
        <v>2955</v>
      </c>
      <c r="K16" s="384"/>
      <c r="L16" s="401">
        <f t="shared" ref="L16:P16" si="5">SUM(L13:L15)</f>
        <v>3085.1433715164467</v>
      </c>
      <c r="M16" s="401">
        <f t="shared" si="5"/>
        <v>3214.5275083116981</v>
      </c>
      <c r="N16" s="401">
        <f t="shared" si="5"/>
        <v>3335.6621331358001</v>
      </c>
      <c r="O16" s="401">
        <f t="shared" si="5"/>
        <v>3447.043013952311</v>
      </c>
      <c r="P16" s="401">
        <f t="shared" si="5"/>
        <v>3547.2699866146818</v>
      </c>
    </row>
    <row r="18" spans="2:16" x14ac:dyDescent="0.25">
      <c r="B18" s="270"/>
      <c r="C18" s="270"/>
      <c r="D18" s="270"/>
      <c r="E18" s="270"/>
      <c r="F18" s="270"/>
      <c r="G18" s="270"/>
      <c r="H18" s="270"/>
      <c r="I18" s="270"/>
      <c r="J18" s="270"/>
      <c r="L18" s="270"/>
      <c r="M18" s="270"/>
      <c r="N18" s="270"/>
      <c r="O18" s="270"/>
      <c r="P18" s="270"/>
    </row>
    <row r="19" spans="2:16" ht="15.75" x14ac:dyDescent="0.25">
      <c r="B19" s="61" t="s">
        <v>15</v>
      </c>
      <c r="F19" s="366">
        <f>F10-F16</f>
        <v>525</v>
      </c>
      <c r="G19" s="366">
        <f t="shared" ref="G19:J19" si="6">G10-G16</f>
        <v>-128</v>
      </c>
      <c r="H19" s="366">
        <f t="shared" si="6"/>
        <v>8</v>
      </c>
      <c r="I19" s="366">
        <f t="shared" si="6"/>
        <v>146</v>
      </c>
      <c r="J19" s="366">
        <f t="shared" si="6"/>
        <v>172</v>
      </c>
      <c r="K19" s="366"/>
      <c r="L19" s="366">
        <f t="shared" ref="L19:P19" si="7">L10-L16</f>
        <v>219.6011486859752</v>
      </c>
      <c r="M19" s="366">
        <f t="shared" si="7"/>
        <v>231.89345681698978</v>
      </c>
      <c r="N19" s="366">
        <f t="shared" si="7"/>
        <v>243.83663101829188</v>
      </c>
      <c r="O19" s="366">
        <f t="shared" si="7"/>
        <v>255.29612855947607</v>
      </c>
      <c r="P19" s="366">
        <f t="shared" si="7"/>
        <v>266.13933017245927</v>
      </c>
    </row>
    <row r="20" spans="2:16" x14ac:dyDescent="0.25">
      <c r="B20" s="321" t="s">
        <v>114</v>
      </c>
      <c r="C20" s="270"/>
      <c r="D20" s="270"/>
      <c r="E20" s="270"/>
      <c r="F20" s="322">
        <f>NWC!F19/'DCF Overview'!E10</f>
        <v>5.150088287227781E-2</v>
      </c>
      <c r="G20" s="322">
        <f>NWC!G19/'DCF Overview'!F10</f>
        <v>-1.1537768162970976E-2</v>
      </c>
      <c r="H20" s="322">
        <f>NWC!H19/'DCF Overview'!G10</f>
        <v>6.5056517849882084E-4</v>
      </c>
      <c r="I20" s="322">
        <f>NWC!I19/'DCF Overview'!H10</f>
        <v>1.062823032685448E-2</v>
      </c>
      <c r="J20" s="322">
        <f>NWC!J19/'DCF Overview'!I10</f>
        <v>1.1947763267574326E-2</v>
      </c>
      <c r="K20" s="212"/>
      <c r="L20" s="322">
        <f>NWC!L19/'DCF Overview'!K10</f>
        <v>1.4568516028333837E-2</v>
      </c>
      <c r="M20" s="322">
        <f>NWC!M19/'DCF Overview'!L10</f>
        <v>1.4751587880340557E-2</v>
      </c>
      <c r="N20" s="322">
        <f>NWC!N19/'DCF Overview'!M10</f>
        <v>1.4934659732347335E-2</v>
      </c>
      <c r="O20" s="322">
        <f>NWC!O19/'DCF Overview'!N10</f>
        <v>1.5117731584354061E-2</v>
      </c>
      <c r="P20" s="322">
        <f>NWC!P19/'DCF Overview'!O10</f>
        <v>1.5300803436360829E-2</v>
      </c>
    </row>
    <row r="22" spans="2:16" ht="15.75" x14ac:dyDescent="0.25">
      <c r="B22" s="318" t="s">
        <v>115</v>
      </c>
      <c r="C22" s="319"/>
      <c r="D22" s="318"/>
      <c r="E22" s="318"/>
      <c r="F22" s="320"/>
      <c r="G22" s="402">
        <f>G19-F19</f>
        <v>-653</v>
      </c>
      <c r="H22" s="402">
        <f>H19-G19</f>
        <v>136</v>
      </c>
      <c r="I22" s="402">
        <f t="shared" ref="I22:J22" si="8">I19-H19</f>
        <v>138</v>
      </c>
      <c r="J22" s="402">
        <f t="shared" si="8"/>
        <v>26</v>
      </c>
      <c r="K22" s="366"/>
      <c r="L22" s="402">
        <f>L19-J19</f>
        <v>47.601148685975204</v>
      </c>
      <c r="M22" s="402">
        <f t="shared" ref="M22" si="9">M19-L19</f>
        <v>12.292308131014579</v>
      </c>
      <c r="N22" s="402">
        <f t="shared" ref="N22" si="10">N19-M19</f>
        <v>11.943174201302099</v>
      </c>
      <c r="O22" s="402">
        <f t="shared" ref="O22" si="11">O19-N19</f>
        <v>11.459497541184192</v>
      </c>
      <c r="P22" s="402">
        <f t="shared" ref="P22" si="12">P19-O19</f>
        <v>10.843201612983194</v>
      </c>
    </row>
  </sheetData>
  <pageMargins left="0.7" right="0.7" top="0.75" bottom="0.75" header="0.3" footer="0.3"/>
  <pageSetup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165B-4CD0-45A0-A8E6-75D82AB9980E}">
  <sheetPr>
    <pageSetUpPr fitToPage="1"/>
  </sheetPr>
  <dimension ref="A1:M37"/>
  <sheetViews>
    <sheetView showGridLines="0" zoomScale="90" zoomScaleNormal="90" workbookViewId="0"/>
  </sheetViews>
  <sheetFormatPr defaultColWidth="8.85546875" defaultRowHeight="15" x14ac:dyDescent="0.25"/>
  <cols>
    <col min="1" max="1" width="2.85546875" customWidth="1"/>
    <col min="2" max="2" width="40.85546875" customWidth="1"/>
    <col min="3" max="7" width="11.85546875" customWidth="1"/>
    <col min="8" max="8" width="2.85546875" customWidth="1"/>
    <col min="9" max="13" width="11.85546875" customWidth="1"/>
  </cols>
  <sheetData>
    <row r="1" spans="1:13" s="232" customFormat="1" x14ac:dyDescent="0.25"/>
    <row r="2" spans="1:13" s="292" customFormat="1" ht="34.5" x14ac:dyDescent="0.45">
      <c r="A2" s="291"/>
      <c r="B2" s="308" t="s">
        <v>178</v>
      </c>
    </row>
    <row r="3" spans="1:13" s="3" customFormat="1" x14ac:dyDescent="0.25">
      <c r="A3"/>
      <c r="C3" s="6"/>
      <c r="D3" s="6"/>
      <c r="E3" s="6"/>
      <c r="F3" s="6"/>
      <c r="G3" s="6"/>
      <c r="H3" s="6"/>
      <c r="I3" s="6"/>
      <c r="J3" s="6"/>
      <c r="K3" s="6"/>
      <c r="L3" s="6"/>
      <c r="M3" s="6"/>
    </row>
    <row r="4" spans="1:13" s="3" customFormat="1" ht="15.75" x14ac:dyDescent="0.25">
      <c r="B4" s="1" t="s">
        <v>179</v>
      </c>
      <c r="C4" s="2" t="s">
        <v>94</v>
      </c>
      <c r="D4" s="2" t="s">
        <v>95</v>
      </c>
      <c r="E4" s="2" t="s">
        <v>96</v>
      </c>
      <c r="F4" s="2" t="s">
        <v>97</v>
      </c>
      <c r="G4" s="2" t="s">
        <v>98</v>
      </c>
      <c r="H4" s="315" t="s">
        <v>180</v>
      </c>
      <c r="I4" s="2" t="s">
        <v>99</v>
      </c>
      <c r="J4" s="2" t="s">
        <v>100</v>
      </c>
      <c r="K4" s="2" t="s">
        <v>101</v>
      </c>
      <c r="L4" s="2" t="s">
        <v>102</v>
      </c>
      <c r="M4" s="2" t="s">
        <v>103</v>
      </c>
    </row>
    <row r="5" spans="1:13" x14ac:dyDescent="0.25">
      <c r="A5" s="3"/>
      <c r="B5" s="3"/>
      <c r="C5" s="6"/>
      <c r="D5" s="6"/>
      <c r="E5" s="6"/>
      <c r="F5" s="6"/>
      <c r="G5" s="6"/>
      <c r="H5" s="6"/>
      <c r="I5" s="6"/>
      <c r="J5" s="6"/>
      <c r="K5" s="6"/>
      <c r="L5" s="6"/>
      <c r="M5" s="6"/>
    </row>
    <row r="6" spans="1:13" ht="15.75" x14ac:dyDescent="0.25">
      <c r="A6" s="157" t="s">
        <v>181</v>
      </c>
      <c r="B6" s="66" t="s">
        <v>182</v>
      </c>
      <c r="C6" s="358">
        <v>10194</v>
      </c>
      <c r="D6" s="358">
        <v>11094</v>
      </c>
      <c r="E6" s="358">
        <v>12297</v>
      </c>
      <c r="F6" s="358">
        <v>13737</v>
      </c>
      <c r="G6" s="358">
        <v>14396</v>
      </c>
      <c r="H6" s="384"/>
      <c r="I6" s="385">
        <f>G6*(1+I7)</f>
        <v>15073.550542281762</v>
      </c>
      <c r="J6" s="385">
        <f>I6*(1+J7)</f>
        <v>15719.76299234918</v>
      </c>
      <c r="K6" s="385">
        <f t="shared" ref="K6:M6" si="0">J6*(1+K7)</f>
        <v>16326.755429253855</v>
      </c>
      <c r="L6" s="385">
        <f t="shared" si="0"/>
        <v>16887.053098404485</v>
      </c>
      <c r="M6" s="385">
        <f t="shared" si="0"/>
        <v>17393.664691356622</v>
      </c>
    </row>
    <row r="7" spans="1:13" x14ac:dyDescent="0.25">
      <c r="A7" s="158"/>
      <c r="B7" s="8" t="s">
        <v>183</v>
      </c>
      <c r="C7" s="9" t="s">
        <v>184</v>
      </c>
      <c r="D7" s="10">
        <f>D6/C6-1</f>
        <v>8.8287227781047584E-2</v>
      </c>
      <c r="E7" s="10">
        <f t="shared" ref="E7:G7" si="1">E6/D6-1</f>
        <v>0.10843699296917242</v>
      </c>
      <c r="F7" s="10">
        <f t="shared" si="1"/>
        <v>0.11710173212978781</v>
      </c>
      <c r="G7" s="10">
        <f t="shared" si="1"/>
        <v>4.797262866710339E-2</v>
      </c>
      <c r="H7" s="12"/>
      <c r="I7" s="382">
        <f>'Revenue Build'!I32</f>
        <v>4.7065194656971565E-2</v>
      </c>
      <c r="J7" s="382">
        <f>'Revenue Build'!J32</f>
        <v>4.2870619516932829E-2</v>
      </c>
      <c r="K7" s="382">
        <f>'Revenue Build'!K32</f>
        <v>3.8613332605593298E-2</v>
      </c>
      <c r="L7" s="382">
        <f>'Revenue Build'!L32</f>
        <v>3.4317759678490933E-2</v>
      </c>
      <c r="M7" s="382">
        <f>'Revenue Build'!M32</f>
        <v>3.0000000000000027E-2</v>
      </c>
    </row>
    <row r="8" spans="1:13" x14ac:dyDescent="0.25">
      <c r="A8" s="158"/>
      <c r="B8" s="3"/>
      <c r="C8" s="6"/>
      <c r="D8" s="6"/>
      <c r="E8" s="6"/>
      <c r="F8" s="6"/>
      <c r="G8" s="6"/>
      <c r="H8" s="6"/>
      <c r="I8" s="6"/>
      <c r="J8" s="6"/>
      <c r="K8" s="6"/>
      <c r="L8" s="6"/>
      <c r="M8" s="6"/>
    </row>
    <row r="9" spans="1:13" ht="15.75" x14ac:dyDescent="0.25">
      <c r="A9" s="158"/>
      <c r="B9" s="52" t="s">
        <v>6</v>
      </c>
      <c r="C9" s="386">
        <v>8690</v>
      </c>
      <c r="D9" s="386">
        <v>9546</v>
      </c>
      <c r="E9" s="386">
        <v>10560</v>
      </c>
      <c r="F9" s="386">
        <v>11723</v>
      </c>
      <c r="G9" s="386">
        <v>12312</v>
      </c>
      <c r="H9" s="366"/>
      <c r="I9" s="367">
        <f>I10*I6</f>
        <v>12842.665062024062</v>
      </c>
      <c r="J9" s="367">
        <f t="shared" ref="J9:M9" si="2">J10*J6</f>
        <v>13377.518306489152</v>
      </c>
      <c r="K9" s="367">
        <f t="shared" si="2"/>
        <v>13877.742114865776</v>
      </c>
      <c r="L9" s="367">
        <f t="shared" si="2"/>
        <v>14337.108080545408</v>
      </c>
      <c r="M9" s="367">
        <f t="shared" si="2"/>
        <v>14749.827658270415</v>
      </c>
    </row>
    <row r="10" spans="1:13" x14ac:dyDescent="0.25">
      <c r="A10" s="158"/>
      <c r="B10" s="8" t="s">
        <v>114</v>
      </c>
      <c r="C10" s="10">
        <f>C9/C6</f>
        <v>0.85246223268589372</v>
      </c>
      <c r="D10" s="10">
        <f t="shared" ref="D10:G10" si="3">D9/D6</f>
        <v>0.86046511627906974</v>
      </c>
      <c r="E10" s="10">
        <f t="shared" si="3"/>
        <v>0.85874603561844354</v>
      </c>
      <c r="F10" s="10">
        <f t="shared" si="3"/>
        <v>0.85338865836791145</v>
      </c>
      <c r="G10" s="10">
        <f t="shared" si="3"/>
        <v>0.85523756599055289</v>
      </c>
      <c r="H10" s="71"/>
      <c r="I10" s="382">
        <f>Assumptions!I46</f>
        <v>0.85199999999999998</v>
      </c>
      <c r="J10" s="382">
        <f>Assumptions!J46</f>
        <v>0.85099999999999998</v>
      </c>
      <c r="K10" s="382">
        <f>Assumptions!K46</f>
        <v>0.85</v>
      </c>
      <c r="L10" s="382">
        <f>Assumptions!L46</f>
        <v>0.84899999999999998</v>
      </c>
      <c r="M10" s="382">
        <f>Assumptions!M46</f>
        <v>0.84799999999999998</v>
      </c>
    </row>
    <row r="11" spans="1:13" x14ac:dyDescent="0.25">
      <c r="A11" s="158"/>
      <c r="B11" s="3"/>
      <c r="C11" s="6"/>
      <c r="D11" s="6"/>
      <c r="E11" s="6"/>
      <c r="F11" s="6"/>
      <c r="G11" s="6"/>
      <c r="H11" s="6"/>
      <c r="I11" s="6"/>
      <c r="J11" s="6"/>
      <c r="K11" s="6"/>
      <c r="L11" s="6"/>
      <c r="M11" s="6"/>
    </row>
    <row r="12" spans="1:13" ht="15.75" x14ac:dyDescent="0.25">
      <c r="A12" s="158"/>
      <c r="B12" s="69" t="s">
        <v>8</v>
      </c>
      <c r="C12" s="385">
        <f>C6-C9</f>
        <v>1504</v>
      </c>
      <c r="D12" s="385">
        <f t="shared" ref="D12:G12" si="4">D6-D9</f>
        <v>1548</v>
      </c>
      <c r="E12" s="385">
        <f t="shared" si="4"/>
        <v>1737</v>
      </c>
      <c r="F12" s="385">
        <f t="shared" si="4"/>
        <v>2014</v>
      </c>
      <c r="G12" s="385">
        <f t="shared" si="4"/>
        <v>2084</v>
      </c>
      <c r="H12" s="366"/>
      <c r="I12" s="385">
        <f>I6-I9</f>
        <v>2230.8854802577007</v>
      </c>
      <c r="J12" s="385">
        <f t="shared" ref="J12:M12" si="5">J6-J9</f>
        <v>2342.2446858600288</v>
      </c>
      <c r="K12" s="385">
        <f t="shared" si="5"/>
        <v>2449.0133143880794</v>
      </c>
      <c r="L12" s="385">
        <f t="shared" si="5"/>
        <v>2549.9450178590778</v>
      </c>
      <c r="M12" s="385">
        <f t="shared" si="5"/>
        <v>2643.8370330862072</v>
      </c>
    </row>
    <row r="13" spans="1:13" x14ac:dyDescent="0.25">
      <c r="A13" s="158"/>
      <c r="B13" s="8" t="s">
        <v>114</v>
      </c>
      <c r="C13" s="10">
        <f>C12/C6</f>
        <v>0.14753776731410634</v>
      </c>
      <c r="D13" s="10">
        <f t="shared" ref="D13:G13" si="6">D12/D6</f>
        <v>0.13953488372093023</v>
      </c>
      <c r="E13" s="10">
        <f t="shared" si="6"/>
        <v>0.14125396438155649</v>
      </c>
      <c r="F13" s="10">
        <f t="shared" si="6"/>
        <v>0.14661134163208853</v>
      </c>
      <c r="G13" s="10">
        <f t="shared" si="6"/>
        <v>0.14476243400944708</v>
      </c>
      <c r="H13" s="71"/>
      <c r="I13" s="10">
        <f>I12/I6</f>
        <v>0.14799999999999999</v>
      </c>
      <c r="J13" s="10">
        <f t="shared" ref="J13:M13" si="7">J12/J6</f>
        <v>0.14900000000000005</v>
      </c>
      <c r="K13" s="10">
        <f t="shared" si="7"/>
        <v>0.15000000000000008</v>
      </c>
      <c r="L13" s="10">
        <f t="shared" si="7"/>
        <v>0.15100000000000002</v>
      </c>
      <c r="M13" s="10">
        <f t="shared" si="7"/>
        <v>0.15200000000000002</v>
      </c>
    </row>
    <row r="14" spans="1:13" x14ac:dyDescent="0.25">
      <c r="A14" s="158"/>
      <c r="B14" s="3"/>
      <c r="C14" s="6"/>
      <c r="D14" s="6"/>
      <c r="E14" s="6"/>
      <c r="F14" s="6"/>
      <c r="G14" s="6"/>
      <c r="H14" s="6"/>
      <c r="I14" s="6"/>
      <c r="J14" s="6"/>
      <c r="K14" s="6"/>
      <c r="L14" s="6"/>
      <c r="M14" s="6"/>
    </row>
    <row r="15" spans="1:13" ht="15.75" x14ac:dyDescent="0.25">
      <c r="A15" s="158"/>
      <c r="B15" s="52" t="s">
        <v>185</v>
      </c>
      <c r="C15" s="386">
        <v>729</v>
      </c>
      <c r="D15" s="386">
        <v>689</v>
      </c>
      <c r="E15" s="386">
        <v>770</v>
      </c>
      <c r="F15" s="386">
        <v>860</v>
      </c>
      <c r="G15" s="386">
        <v>950</v>
      </c>
      <c r="H15" s="366"/>
      <c r="I15" s="367">
        <f>I16*I6</f>
        <v>979.7807852483146</v>
      </c>
      <c r="J15" s="367">
        <f t="shared" ref="J15:M15" si="8">J16*J6</f>
        <v>1033.5744167469586</v>
      </c>
      <c r="K15" s="367">
        <f t="shared" si="8"/>
        <v>1085.7292360453814</v>
      </c>
      <c r="L15" s="367">
        <f t="shared" si="8"/>
        <v>1135.6543208677017</v>
      </c>
      <c r="M15" s="367">
        <f t="shared" si="8"/>
        <v>1182.7691990122503</v>
      </c>
    </row>
    <row r="16" spans="1:13" x14ac:dyDescent="0.25">
      <c r="A16" s="158"/>
      <c r="B16" s="8" t="s">
        <v>114</v>
      </c>
      <c r="C16" s="10">
        <f>C15/C6</f>
        <v>7.1512654502648612E-2</v>
      </c>
      <c r="D16" s="10">
        <f t="shared" ref="D16:G16" si="9">D15/D6</f>
        <v>6.2105642689742203E-2</v>
      </c>
      <c r="E16" s="10">
        <f t="shared" si="9"/>
        <v>6.2616898430511506E-2</v>
      </c>
      <c r="F16" s="10">
        <f t="shared" si="9"/>
        <v>6.2604644391060643E-2</v>
      </c>
      <c r="G16" s="10">
        <f t="shared" si="9"/>
        <v>6.5990552931369822E-2</v>
      </c>
      <c r="H16" s="71"/>
      <c r="I16" s="382">
        <f>Assumptions!I56</f>
        <v>6.5000000000000002E-2</v>
      </c>
      <c r="J16" s="382">
        <f>Assumptions!J56</f>
        <v>6.5750000000000003E-2</v>
      </c>
      <c r="K16" s="382">
        <f>Assumptions!K56</f>
        <v>6.6500000000000004E-2</v>
      </c>
      <c r="L16" s="382">
        <f>Assumptions!L56</f>
        <v>6.7250000000000004E-2</v>
      </c>
      <c r="M16" s="382">
        <f>Assumptions!M56</f>
        <v>6.8000000000000005E-2</v>
      </c>
    </row>
    <row r="17" spans="1:13" x14ac:dyDescent="0.25">
      <c r="A17" s="158"/>
      <c r="B17" s="70"/>
      <c r="C17" s="71"/>
      <c r="D17" s="71"/>
      <c r="E17" s="71"/>
      <c r="F17" s="71"/>
      <c r="G17" s="71"/>
      <c r="H17" s="71"/>
      <c r="I17" s="71"/>
      <c r="J17" s="71"/>
      <c r="K17" s="71"/>
      <c r="L17" s="71"/>
      <c r="M17" s="71"/>
    </row>
    <row r="18" spans="1:13" ht="15.75" x14ac:dyDescent="0.25">
      <c r="A18" s="158"/>
      <c r="B18" s="52" t="s">
        <v>186</v>
      </c>
      <c r="C18" s="386">
        <v>26</v>
      </c>
      <c r="D18" s="386">
        <v>-53</v>
      </c>
      <c r="E18" s="386">
        <v>-31</v>
      </c>
      <c r="F18" s="386">
        <v>2</v>
      </c>
      <c r="G18" s="386">
        <v>46</v>
      </c>
      <c r="H18" s="366"/>
      <c r="I18" s="367">
        <f>I19*I6</f>
        <v>2.1945913288609979</v>
      </c>
      <c r="J18" s="367">
        <f t="shared" ref="J18:M18" si="10">J19*J6</f>
        <v>2.2886748187157577</v>
      </c>
      <c r="K18" s="367">
        <f t="shared" si="10"/>
        <v>2.3770481807168751</v>
      </c>
      <c r="L18" s="367">
        <f t="shared" si="10"/>
        <v>2.4586231489269106</v>
      </c>
      <c r="M18" s="367">
        <f t="shared" si="10"/>
        <v>2.5323818433947185</v>
      </c>
    </row>
    <row r="19" spans="1:13" x14ac:dyDescent="0.25">
      <c r="A19" s="158"/>
      <c r="B19" s="8" t="s">
        <v>114</v>
      </c>
      <c r="C19" s="10">
        <f>C18/C6</f>
        <v>2.5505199136747108E-3</v>
      </c>
      <c r="D19" s="10">
        <f t="shared" ref="D19:G19" si="11">D18/D6</f>
        <v>-4.7773571299801693E-3</v>
      </c>
      <c r="E19" s="11">
        <f t="shared" si="11"/>
        <v>-2.5209400666829306E-3</v>
      </c>
      <c r="F19" s="10">
        <f t="shared" si="11"/>
        <v>1.4559219625828057E-4</v>
      </c>
      <c r="G19" s="10">
        <f t="shared" si="11"/>
        <v>3.1953320366768546E-3</v>
      </c>
      <c r="H19" s="71"/>
      <c r="I19" s="10">
        <f>MEDIAN($E$19:$G$19)</f>
        <v>1.4559219625828057E-4</v>
      </c>
      <c r="J19" s="10">
        <f t="shared" ref="J19:M19" si="12">MEDIAN($E$19:$G$19)</f>
        <v>1.4559219625828057E-4</v>
      </c>
      <c r="K19" s="10">
        <f t="shared" si="12"/>
        <v>1.4559219625828057E-4</v>
      </c>
      <c r="L19" s="10">
        <f t="shared" si="12"/>
        <v>1.4559219625828057E-4</v>
      </c>
      <c r="M19" s="10">
        <f t="shared" si="12"/>
        <v>1.4559219625828057E-4</v>
      </c>
    </row>
    <row r="20" spans="1:13" x14ac:dyDescent="0.25">
      <c r="A20" s="158"/>
      <c r="B20" s="3"/>
      <c r="C20" s="6"/>
      <c r="D20" s="6"/>
      <c r="E20" s="6"/>
      <c r="F20" s="6"/>
      <c r="G20" s="6"/>
      <c r="H20" s="6"/>
      <c r="I20" s="6"/>
      <c r="J20" s="6"/>
      <c r="K20" s="6"/>
      <c r="L20" s="6"/>
      <c r="M20" s="6"/>
    </row>
    <row r="21" spans="1:13" ht="15.75" x14ac:dyDescent="0.25">
      <c r="A21" s="158"/>
      <c r="B21" s="69" t="s">
        <v>187</v>
      </c>
      <c r="C21" s="385">
        <f>C12-C15-C18</f>
        <v>749</v>
      </c>
      <c r="D21" s="385">
        <f t="shared" ref="D21:G21" si="13">D12-D15-D18</f>
        <v>912</v>
      </c>
      <c r="E21" s="385">
        <f t="shared" si="13"/>
        <v>998</v>
      </c>
      <c r="F21" s="385">
        <f t="shared" si="13"/>
        <v>1152</v>
      </c>
      <c r="G21" s="385">
        <f t="shared" si="13"/>
        <v>1088</v>
      </c>
      <c r="H21" s="366"/>
      <c r="I21" s="385">
        <f>I12-I15-I18</f>
        <v>1248.910103680525</v>
      </c>
      <c r="J21" s="385">
        <f t="shared" ref="J21:M21" si="14">J12-J15-J18</f>
        <v>1306.3815942943545</v>
      </c>
      <c r="K21" s="385">
        <f t="shared" si="14"/>
        <v>1360.9070301619811</v>
      </c>
      <c r="L21" s="385">
        <f t="shared" si="14"/>
        <v>1411.8320738424491</v>
      </c>
      <c r="M21" s="385">
        <f t="shared" si="14"/>
        <v>1458.5354522305622</v>
      </c>
    </row>
    <row r="22" spans="1:13" x14ac:dyDescent="0.25">
      <c r="A22" s="158"/>
      <c r="B22" s="8" t="s">
        <v>114</v>
      </c>
      <c r="C22" s="10">
        <f>C21/C6</f>
        <v>7.3474592897783006E-2</v>
      </c>
      <c r="D22" s="10">
        <f t="shared" ref="D22:G22" si="15">D21/D6</f>
        <v>8.2206598161168196E-2</v>
      </c>
      <c r="E22" s="11">
        <f t="shared" si="15"/>
        <v>8.1158006017727907E-2</v>
      </c>
      <c r="F22" s="10">
        <f t="shared" si="15"/>
        <v>8.3861105044769596E-2</v>
      </c>
      <c r="G22" s="10">
        <f t="shared" si="15"/>
        <v>7.557654904140039E-2</v>
      </c>
      <c r="H22" s="71"/>
      <c r="I22" s="10">
        <f>I21/I6</f>
        <v>8.2854407803741703E-2</v>
      </c>
      <c r="J22" s="10">
        <f t="shared" ref="J22:M22" si="16">J21/J6</f>
        <v>8.3104407803741787E-2</v>
      </c>
      <c r="K22" s="10">
        <f t="shared" si="16"/>
        <v>8.3354407803741787E-2</v>
      </c>
      <c r="L22" s="10">
        <f t="shared" si="16"/>
        <v>8.3604407803741745E-2</v>
      </c>
      <c r="M22" s="10">
        <f t="shared" si="16"/>
        <v>8.385440780374176E-2</v>
      </c>
    </row>
    <row r="23" spans="1:13" x14ac:dyDescent="0.25">
      <c r="A23" s="158"/>
      <c r="B23" s="3"/>
      <c r="C23" s="6"/>
      <c r="D23" s="6"/>
      <c r="E23" s="6"/>
      <c r="F23" s="6"/>
      <c r="G23" s="6"/>
      <c r="H23" s="6"/>
      <c r="I23" s="6"/>
      <c r="J23" s="6"/>
      <c r="K23" s="6"/>
      <c r="L23" s="6"/>
      <c r="M23" s="6"/>
    </row>
    <row r="24" spans="1:13" ht="15.75" x14ac:dyDescent="0.25">
      <c r="A24" s="158"/>
      <c r="B24" s="52" t="s">
        <v>188</v>
      </c>
      <c r="C24" s="386">
        <v>138</v>
      </c>
      <c r="D24" s="386">
        <v>133</v>
      </c>
      <c r="E24" s="386">
        <v>179</v>
      </c>
      <c r="F24" s="386">
        <v>184</v>
      </c>
      <c r="G24" s="386">
        <v>199</v>
      </c>
      <c r="H24" s="366"/>
      <c r="I24" s="367">
        <f>I25*I6</f>
        <v>208.36597373673735</v>
      </c>
      <c r="J24" s="367">
        <f t="shared" ref="J24:M24" si="17">J25*J6</f>
        <v>217.29875211708023</v>
      </c>
      <c r="K24" s="367">
        <f t="shared" si="17"/>
        <v>225.68938110735741</v>
      </c>
      <c r="L24" s="367">
        <f t="shared" si="17"/>
        <v>233.43453505018704</v>
      </c>
      <c r="M24" s="367">
        <f t="shared" si="17"/>
        <v>240.4375711016927</v>
      </c>
    </row>
    <row r="25" spans="1:13" x14ac:dyDescent="0.25">
      <c r="A25" s="158"/>
      <c r="B25" s="8" t="s">
        <v>114</v>
      </c>
      <c r="C25" s="10">
        <f>C24/C6</f>
        <v>1.3537374926427309E-2</v>
      </c>
      <c r="D25" s="10">
        <f t="shared" ref="D25:G25" si="18">D24/D6</f>
        <v>1.1988462231837029E-2</v>
      </c>
      <c r="E25" s="11">
        <f t="shared" si="18"/>
        <v>1.4556395868911116E-2</v>
      </c>
      <c r="F25" s="10">
        <f t="shared" si="18"/>
        <v>1.3394482055761811E-2</v>
      </c>
      <c r="G25" s="10">
        <f t="shared" si="18"/>
        <v>1.3823284245623785E-2</v>
      </c>
      <c r="H25" s="71"/>
      <c r="I25" s="10">
        <f>MEDIAN($E$25:$G$25)</f>
        <v>1.3823284245623785E-2</v>
      </c>
      <c r="J25" s="10">
        <f t="shared" ref="J25:M25" si="19">MEDIAN($E$25:$G$25)</f>
        <v>1.3823284245623785E-2</v>
      </c>
      <c r="K25" s="10">
        <f t="shared" si="19"/>
        <v>1.3823284245623785E-2</v>
      </c>
      <c r="L25" s="10">
        <f t="shared" si="19"/>
        <v>1.3823284245623785E-2</v>
      </c>
      <c r="M25" s="10">
        <f t="shared" si="19"/>
        <v>1.3823284245623785E-2</v>
      </c>
    </row>
    <row r="26" spans="1:13" x14ac:dyDescent="0.25">
      <c r="A26" s="158"/>
      <c r="B26" s="3"/>
      <c r="C26" s="6"/>
      <c r="D26" s="6"/>
      <c r="E26" s="6"/>
      <c r="F26" s="6"/>
      <c r="G26" s="6"/>
      <c r="H26" s="6"/>
      <c r="I26" s="6"/>
      <c r="J26" s="6"/>
      <c r="K26" s="6"/>
      <c r="L26" s="6"/>
      <c r="M26" s="6"/>
    </row>
    <row r="27" spans="1:13" ht="15.75" x14ac:dyDescent="0.25">
      <c r="A27" s="158"/>
      <c r="B27" s="52" t="s">
        <v>189</v>
      </c>
      <c r="C27" s="386">
        <v>1</v>
      </c>
      <c r="D27" s="386">
        <v>-87</v>
      </c>
      <c r="E27" s="386">
        <v>38</v>
      </c>
      <c r="F27" s="386">
        <v>1</v>
      </c>
      <c r="G27" s="386">
        <v>3</v>
      </c>
      <c r="H27" s="366"/>
      <c r="I27" s="367">
        <f>I28*I6</f>
        <v>1.5073550542281764</v>
      </c>
      <c r="J27" s="367">
        <f t="shared" ref="J27:M27" si="20">J28*J6</f>
        <v>1.5719762992349182</v>
      </c>
      <c r="K27" s="367">
        <f t="shared" si="20"/>
        <v>1.6326755429253856</v>
      </c>
      <c r="L27" s="367">
        <f t="shared" si="20"/>
        <v>1.6887053098404485</v>
      </c>
      <c r="M27" s="367">
        <f t="shared" si="20"/>
        <v>1.7393664691356623</v>
      </c>
    </row>
    <row r="28" spans="1:13" x14ac:dyDescent="0.25">
      <c r="A28" s="158"/>
      <c r="B28" s="8" t="s">
        <v>114</v>
      </c>
      <c r="C28" s="10">
        <f>C27/C6</f>
        <v>9.8096919756719643E-5</v>
      </c>
      <c r="D28" s="10">
        <f t="shared" ref="D28:G28" si="21">D27/D6</f>
        <v>-7.8420767982693342E-3</v>
      </c>
      <c r="E28" s="11">
        <f t="shared" si="21"/>
        <v>3.0901845978693991E-3</v>
      </c>
      <c r="F28" s="10">
        <f t="shared" si="21"/>
        <v>7.2796098129140283E-5</v>
      </c>
      <c r="G28" s="10">
        <f t="shared" si="21"/>
        <v>2.0839121978327314E-4</v>
      </c>
      <c r="H28" s="71"/>
      <c r="I28" s="10">
        <v>1E-4</v>
      </c>
      <c r="J28" s="10">
        <v>1E-4</v>
      </c>
      <c r="K28" s="10">
        <v>1E-4</v>
      </c>
      <c r="L28" s="10">
        <v>1E-4</v>
      </c>
      <c r="M28" s="10">
        <v>1E-4</v>
      </c>
    </row>
    <row r="29" spans="1:13" x14ac:dyDescent="0.25">
      <c r="A29" s="158"/>
      <c r="B29" s="3"/>
      <c r="C29" s="6"/>
      <c r="D29" s="6"/>
      <c r="E29" s="6"/>
      <c r="F29" s="6"/>
      <c r="G29" s="6"/>
      <c r="H29" s="6"/>
      <c r="I29" s="6"/>
      <c r="J29" s="6"/>
      <c r="K29" s="6"/>
      <c r="L29" s="6"/>
      <c r="M29" s="6"/>
    </row>
    <row r="30" spans="1:13" ht="15.75" x14ac:dyDescent="0.25">
      <c r="A30" s="158"/>
      <c r="B30" s="69" t="s">
        <v>190</v>
      </c>
      <c r="C30" s="67">
        <f>C21-C24-C27</f>
        <v>610</v>
      </c>
      <c r="D30" s="67">
        <f>D21-D24-D27</f>
        <v>866</v>
      </c>
      <c r="E30" s="67">
        <f>E21-E24-E27</f>
        <v>781</v>
      </c>
      <c r="F30" s="67">
        <f>F21-F24-F27</f>
        <v>967</v>
      </c>
      <c r="G30" s="67">
        <f>G21-G24-G27</f>
        <v>886</v>
      </c>
      <c r="H30" s="68"/>
      <c r="I30" s="67">
        <f>I21-I24-I27</f>
        <v>1039.0367748895596</v>
      </c>
      <c r="J30" s="67">
        <f t="shared" ref="J30:M30" si="22">J21-J24-J27</f>
        <v>1087.5108658780393</v>
      </c>
      <c r="K30" s="67">
        <f t="shared" si="22"/>
        <v>1133.5849735116983</v>
      </c>
      <c r="L30" s="67">
        <f t="shared" si="22"/>
        <v>1176.7088334824214</v>
      </c>
      <c r="M30" s="67">
        <f t="shared" si="22"/>
        <v>1216.3585146597341</v>
      </c>
    </row>
    <row r="31" spans="1:13" x14ac:dyDescent="0.25">
      <c r="A31" s="158"/>
      <c r="B31" s="8" t="s">
        <v>114</v>
      </c>
      <c r="C31" s="10">
        <f>C30/C6</f>
        <v>5.9839121051598977E-2</v>
      </c>
      <c r="D31" s="10">
        <f>D30/D6</f>
        <v>7.8060212727600511E-2</v>
      </c>
      <c r="E31" s="11">
        <f>E30/E6</f>
        <v>6.3511425550947381E-2</v>
      </c>
      <c r="F31" s="10">
        <f>F30/F6</f>
        <v>7.0393826890878655E-2</v>
      </c>
      <c r="G31" s="10">
        <f>G30/G6</f>
        <v>6.1544873575993329E-2</v>
      </c>
      <c r="H31" s="71"/>
      <c r="I31" s="10">
        <f>I30/I6</f>
        <v>6.8931123558117924E-2</v>
      </c>
      <c r="J31" s="10">
        <f t="shared" ref="J31:M31" si="23">J30/J6</f>
        <v>6.9181123558117993E-2</v>
      </c>
      <c r="K31" s="10">
        <f t="shared" si="23"/>
        <v>6.9431123558117994E-2</v>
      </c>
      <c r="L31" s="10">
        <f t="shared" si="23"/>
        <v>6.9681123558117938E-2</v>
      </c>
      <c r="M31" s="10">
        <f t="shared" si="23"/>
        <v>6.993112355811798E-2</v>
      </c>
    </row>
    <row r="32" spans="1:13" x14ac:dyDescent="0.25">
      <c r="A32" s="158"/>
      <c r="B32" s="3"/>
      <c r="C32" s="6"/>
      <c r="D32" s="6"/>
      <c r="E32" s="6"/>
      <c r="F32" s="6"/>
      <c r="G32" s="6"/>
      <c r="H32" s="6"/>
      <c r="I32" s="6"/>
      <c r="J32" s="6"/>
      <c r="K32" s="6"/>
      <c r="L32" s="6"/>
      <c r="M32" s="6"/>
    </row>
    <row r="33" spans="1:13" ht="15.75" x14ac:dyDescent="0.25">
      <c r="A33" s="158"/>
      <c r="B33" s="52" t="s">
        <v>191</v>
      </c>
      <c r="C33" s="386">
        <v>28</v>
      </c>
      <c r="D33" s="386">
        <v>196</v>
      </c>
      <c r="E33" s="386">
        <v>152</v>
      </c>
      <c r="F33" s="386">
        <v>208</v>
      </c>
      <c r="G33" s="386">
        <v>193</v>
      </c>
      <c r="H33" s="366"/>
      <c r="I33" s="367">
        <f>I30*I34</f>
        <v>218.19772272680751</v>
      </c>
      <c r="J33" s="367">
        <f t="shared" ref="J33:M33" si="24">J30*J34</f>
        <v>228.37728183438824</v>
      </c>
      <c r="K33" s="367">
        <f t="shared" si="24"/>
        <v>238.05284443745663</v>
      </c>
      <c r="L33" s="367">
        <f t="shared" si="24"/>
        <v>247.10885503130848</v>
      </c>
      <c r="M33" s="367">
        <f t="shared" si="24"/>
        <v>255.43528807854415</v>
      </c>
    </row>
    <row r="34" spans="1:13" x14ac:dyDescent="0.25">
      <c r="A34" s="158"/>
      <c r="B34" s="8" t="s">
        <v>192</v>
      </c>
      <c r="C34" s="10">
        <f>C33/C30</f>
        <v>4.5901639344262293E-2</v>
      </c>
      <c r="D34" s="10">
        <f>D33/D30</f>
        <v>0.22632794457274827</v>
      </c>
      <c r="E34" s="11">
        <f>E33/E30</f>
        <v>0.1946222791293214</v>
      </c>
      <c r="F34" s="10">
        <f>F33/F30</f>
        <v>0.21509824198552224</v>
      </c>
      <c r="G34" s="10">
        <f>G33/G30</f>
        <v>0.21783295711060949</v>
      </c>
      <c r="H34" s="71"/>
      <c r="I34" s="383">
        <v>0.21</v>
      </c>
      <c r="J34" s="383">
        <v>0.21</v>
      </c>
      <c r="K34" s="383">
        <v>0.21</v>
      </c>
      <c r="L34" s="383">
        <v>0.21</v>
      </c>
      <c r="M34" s="383">
        <v>0.21</v>
      </c>
    </row>
    <row r="35" spans="1:13" x14ac:dyDescent="0.25">
      <c r="A35" s="158"/>
      <c r="B35" s="3"/>
      <c r="C35" s="6"/>
      <c r="D35" s="6"/>
      <c r="E35" s="6"/>
      <c r="F35" s="6"/>
      <c r="G35" s="6"/>
      <c r="H35" s="6"/>
      <c r="I35" s="6"/>
      <c r="J35" s="6"/>
      <c r="K35" s="6"/>
      <c r="L35" s="6"/>
      <c r="M35" s="6"/>
    </row>
    <row r="36" spans="1:13" ht="15.75" x14ac:dyDescent="0.25">
      <c r="A36" s="158"/>
      <c r="B36" s="69" t="s">
        <v>193</v>
      </c>
      <c r="C36" s="67">
        <f>C30-C33</f>
        <v>582</v>
      </c>
      <c r="D36" s="67">
        <f t="shared" ref="D36:E36" si="25">D30-D33</f>
        <v>670</v>
      </c>
      <c r="E36" s="67">
        <f t="shared" si="25"/>
        <v>629</v>
      </c>
      <c r="F36" s="67">
        <f>F30-F33</f>
        <v>759</v>
      </c>
      <c r="G36" s="67">
        <f>G30-G33</f>
        <v>693</v>
      </c>
      <c r="H36" s="68"/>
      <c r="I36" s="67">
        <f>I30-I33</f>
        <v>820.83905216275207</v>
      </c>
      <c r="J36" s="67">
        <f t="shared" ref="J36:M36" si="26">J30-J33</f>
        <v>859.13358404365113</v>
      </c>
      <c r="K36" s="67">
        <f t="shared" si="26"/>
        <v>895.53212907424165</v>
      </c>
      <c r="L36" s="67">
        <f t="shared" si="26"/>
        <v>929.59997845111286</v>
      </c>
      <c r="M36" s="67">
        <f t="shared" si="26"/>
        <v>960.92322658118997</v>
      </c>
    </row>
    <row r="37" spans="1:13" x14ac:dyDescent="0.25">
      <c r="A37" s="157" t="s">
        <v>181</v>
      </c>
      <c r="B37" s="8" t="s">
        <v>194</v>
      </c>
      <c r="C37" s="10">
        <f>C36/C6</f>
        <v>5.7092407298410829E-2</v>
      </c>
      <c r="D37" s="10">
        <f t="shared" ref="D37:G37" si="27">D36/D6</f>
        <v>6.0393005228051196E-2</v>
      </c>
      <c r="E37" s="10">
        <f t="shared" si="27"/>
        <v>5.1150687159469792E-2</v>
      </c>
      <c r="F37" s="10">
        <f t="shared" si="27"/>
        <v>5.5252238480017472E-2</v>
      </c>
      <c r="G37" s="10">
        <f t="shared" si="27"/>
        <v>4.8138371769936093E-2</v>
      </c>
      <c r="H37" s="71"/>
      <c r="I37" s="10">
        <f>I36/I6</f>
        <v>5.445558761091316E-2</v>
      </c>
      <c r="J37" s="10">
        <f t="shared" ref="J37:M37" si="28">J36/J6</f>
        <v>5.4653087610913219E-2</v>
      </c>
      <c r="K37" s="10">
        <f t="shared" si="28"/>
        <v>5.4850587610913222E-2</v>
      </c>
      <c r="L37" s="10">
        <f t="shared" si="28"/>
        <v>5.504808761091317E-2</v>
      </c>
      <c r="M37" s="10">
        <f t="shared" si="28"/>
        <v>5.5245587610913215E-2</v>
      </c>
    </row>
  </sheetData>
  <pageMargins left="0.7" right="0.7" top="0.75" bottom="0.75" header="0.3" footer="0.3"/>
  <pageSetup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EA00-031C-40C3-8C4F-BC40CC173F59}">
  <sheetPr>
    <pageSetUpPr fitToPage="1"/>
  </sheetPr>
  <dimension ref="A1:N97"/>
  <sheetViews>
    <sheetView showGridLines="0" zoomScale="80" zoomScaleNormal="80" workbookViewId="0"/>
  </sheetViews>
  <sheetFormatPr defaultColWidth="8.85546875" defaultRowHeight="15" x14ac:dyDescent="0.25"/>
  <cols>
    <col min="1" max="1" width="2.85546875" customWidth="1"/>
    <col min="2" max="2" width="41" customWidth="1"/>
    <col min="3" max="7" width="11.85546875" customWidth="1"/>
    <col min="8" max="8" width="2.85546875" customWidth="1"/>
    <col min="9" max="13" width="11.85546875" customWidth="1"/>
  </cols>
  <sheetData>
    <row r="1" spans="1:13" s="232" customFormat="1" ht="15" customHeight="1" x14ac:dyDescent="0.4">
      <c r="A1" s="201"/>
      <c r="B1" s="309"/>
      <c r="C1" s="309"/>
      <c r="D1" s="309"/>
      <c r="E1" s="309"/>
      <c r="F1" s="309"/>
      <c r="G1" s="309"/>
      <c r="H1" s="309"/>
      <c r="I1" s="309"/>
    </row>
    <row r="2" spans="1:13" s="232" customFormat="1" ht="34.5" x14ac:dyDescent="0.45">
      <c r="A2" s="292"/>
      <c r="B2" s="308" t="s">
        <v>195</v>
      </c>
      <c r="C2" s="310"/>
      <c r="D2" s="310"/>
      <c r="E2" s="310"/>
      <c r="F2" s="310"/>
      <c r="G2" s="310"/>
      <c r="H2" s="310"/>
      <c r="I2" s="310"/>
      <c r="J2" s="291"/>
      <c r="K2" s="291"/>
      <c r="L2" s="291"/>
      <c r="M2" s="291"/>
    </row>
    <row r="3" spans="1:13" x14ac:dyDescent="0.25">
      <c r="A3" s="23"/>
      <c r="B3" s="3"/>
      <c r="C3" s="23"/>
      <c r="D3" s="23"/>
      <c r="E3" s="23"/>
      <c r="F3" s="23"/>
      <c r="G3" s="23"/>
    </row>
    <row r="4" spans="1:13" ht="15.75" x14ac:dyDescent="0.25">
      <c r="A4" s="6"/>
      <c r="B4" s="1" t="s">
        <v>179</v>
      </c>
      <c r="C4" s="2" t="s">
        <v>94</v>
      </c>
      <c r="D4" s="2" t="s">
        <v>95</v>
      </c>
      <c r="E4" s="2" t="s">
        <v>96</v>
      </c>
      <c r="F4" s="2" t="s">
        <v>97</v>
      </c>
      <c r="G4" s="2" t="s">
        <v>98</v>
      </c>
      <c r="I4" s="2" t="s">
        <v>99</v>
      </c>
      <c r="J4" s="2" t="s">
        <v>100</v>
      </c>
      <c r="K4" s="2" t="s">
        <v>101</v>
      </c>
      <c r="L4" s="2" t="s">
        <v>102</v>
      </c>
      <c r="M4" s="2" t="s">
        <v>103</v>
      </c>
    </row>
    <row r="5" spans="1:13" ht="15.75" x14ac:dyDescent="0.25">
      <c r="A5" s="504"/>
      <c r="B5" s="504"/>
      <c r="C5" s="24"/>
      <c r="D5" s="24"/>
      <c r="E5" s="24"/>
      <c r="F5" s="24"/>
      <c r="G5" s="24"/>
    </row>
    <row r="6" spans="1:13" ht="15.75" x14ac:dyDescent="0.25">
      <c r="A6" s="162" t="s">
        <v>181</v>
      </c>
      <c r="B6" s="77" t="s">
        <v>196</v>
      </c>
      <c r="C6" s="24"/>
      <c r="D6" s="24"/>
      <c r="E6" s="24"/>
      <c r="F6" s="24"/>
      <c r="G6" s="24"/>
      <c r="H6" s="51"/>
      <c r="I6" s="51"/>
      <c r="J6" s="51"/>
      <c r="K6" s="51"/>
      <c r="L6" s="51"/>
      <c r="M6" s="51"/>
    </row>
    <row r="7" spans="1:13" ht="15.75" x14ac:dyDescent="0.25">
      <c r="A7" s="78"/>
      <c r="B7" s="25" t="s">
        <v>197</v>
      </c>
      <c r="C7" s="365">
        <v>327</v>
      </c>
      <c r="D7" s="365">
        <v>668</v>
      </c>
      <c r="E7" s="365">
        <v>524</v>
      </c>
      <c r="F7" s="365">
        <v>727</v>
      </c>
      <c r="G7" s="365">
        <v>516</v>
      </c>
      <c r="H7" s="366"/>
      <c r="I7" s="381">
        <f>'Statement of Cash Flows'!I73</f>
        <v>1163.6864765595938</v>
      </c>
      <c r="J7" s="381">
        <f>'Statement of Cash Flows'!J73</f>
        <v>1709.3871918083742</v>
      </c>
      <c r="K7" s="381">
        <f>'Statement of Cash Flows'!K73</f>
        <v>2291.7778920060409</v>
      </c>
      <c r="L7" s="381">
        <f>'Statement of Cash Flows'!L73</f>
        <v>2911.6520276394276</v>
      </c>
      <c r="M7" s="381">
        <f>'Statement of Cash Flows'!M73</f>
        <v>3560.9325471173497</v>
      </c>
    </row>
    <row r="8" spans="1:13" ht="15.75" x14ac:dyDescent="0.25">
      <c r="A8" s="78"/>
      <c r="B8" s="26" t="s">
        <v>183</v>
      </c>
      <c r="C8" s="27" t="s">
        <v>184</v>
      </c>
      <c r="D8" s="28">
        <f>D7/C7-1</f>
        <v>1.0428134556574924</v>
      </c>
      <c r="E8" s="28">
        <f t="shared" ref="E8:G8" si="0">E7/D7-1</f>
        <v>-0.21556886227544914</v>
      </c>
      <c r="F8" s="28">
        <f t="shared" si="0"/>
        <v>0.38740458015267176</v>
      </c>
      <c r="G8" s="28">
        <f t="shared" si="0"/>
        <v>-0.29023383768913347</v>
      </c>
      <c r="H8" s="71"/>
      <c r="I8" s="10">
        <f>I7/G7-1</f>
        <v>1.2552063499216932</v>
      </c>
      <c r="J8" s="10">
        <f>J7/I7-1</f>
        <v>0.46894135683533</v>
      </c>
      <c r="K8" s="10">
        <f t="shared" ref="K8:M8" si="1">K7/J7-1</f>
        <v>0.34070145312224498</v>
      </c>
      <c r="L8" s="10">
        <f t="shared" si="1"/>
        <v>0.27047740437481838</v>
      </c>
      <c r="M8" s="10">
        <f t="shared" si="1"/>
        <v>0.2229938582339166</v>
      </c>
    </row>
    <row r="9" spans="1:13" ht="15.75" x14ac:dyDescent="0.25">
      <c r="A9" s="78"/>
      <c r="B9" s="29"/>
      <c r="C9" s="78"/>
      <c r="D9" s="78"/>
      <c r="E9" s="78"/>
      <c r="F9" s="78"/>
      <c r="G9" s="78"/>
      <c r="H9" s="68"/>
      <c r="I9" s="68"/>
      <c r="J9" s="68"/>
      <c r="K9" s="68"/>
      <c r="L9" s="68"/>
      <c r="M9" s="68"/>
    </row>
    <row r="10" spans="1:13" ht="15.75" x14ac:dyDescent="0.25">
      <c r="A10" s="78"/>
      <c r="B10" s="30" t="s">
        <v>198</v>
      </c>
      <c r="C10" s="365">
        <v>1877</v>
      </c>
      <c r="D10" s="365">
        <v>1734</v>
      </c>
      <c r="E10" s="365">
        <v>2137</v>
      </c>
      <c r="F10" s="365">
        <v>2189</v>
      </c>
      <c r="G10" s="365">
        <v>2350</v>
      </c>
      <c r="H10" s="366"/>
      <c r="I10" s="367">
        <f>I12*'Income Statement'!I6/365</f>
        <v>2460.6032074438835</v>
      </c>
      <c r="J10" s="367">
        <f>J12*'Income Statement'!J6/365</f>
        <v>2566.0907913323545</v>
      </c>
      <c r="K10" s="367">
        <f>K12*'Income Statement'!K6/365</f>
        <v>2665.1761085542207</v>
      </c>
      <c r="L10" s="367">
        <f>L12*'Income Statement'!L6/365</f>
        <v>2756.6389817484401</v>
      </c>
      <c r="M10" s="367">
        <f>M12*'Income Statement'!M6/365</f>
        <v>2839.3381512008937</v>
      </c>
    </row>
    <row r="11" spans="1:13" ht="15.75" x14ac:dyDescent="0.25">
      <c r="A11" s="78"/>
      <c r="B11" s="31" t="s">
        <v>114</v>
      </c>
      <c r="C11" s="32">
        <f>C10/'Income Statement'!C6</f>
        <v>0.18412791838336276</v>
      </c>
      <c r="D11" s="32">
        <f>D10/'Income Statement'!D6</f>
        <v>0.15630070308274743</v>
      </c>
      <c r="E11" s="32">
        <f>E10/'Income Statement'!E6</f>
        <v>0.17378222330649751</v>
      </c>
      <c r="F11" s="32">
        <f>F10/'Income Statement'!F6</f>
        <v>0.15935065880468807</v>
      </c>
      <c r="G11" s="32">
        <f>G10/'Income Statement'!G6</f>
        <v>0.16323978883023063</v>
      </c>
      <c r="H11" s="71"/>
      <c r="I11" s="5">
        <f>I10/'Income Statement'!I6</f>
        <v>0.16323978883023066</v>
      </c>
      <c r="J11" s="5">
        <f>J10/'Income Statement'!J6</f>
        <v>0.16323978883023063</v>
      </c>
      <c r="K11" s="5">
        <f>K10/'Income Statement'!K6</f>
        <v>0.16323978883023063</v>
      </c>
      <c r="L11" s="5">
        <f>L10/'Income Statement'!L6</f>
        <v>0.16323978883023063</v>
      </c>
      <c r="M11" s="5">
        <f>M10/'Income Statement'!M6</f>
        <v>0.16323978883023063</v>
      </c>
    </row>
    <row r="12" spans="1:13" ht="15.75" x14ac:dyDescent="0.25">
      <c r="A12" s="78"/>
      <c r="B12" s="26" t="s">
        <v>199</v>
      </c>
      <c r="C12" s="33">
        <f>(C10/'Income Statement'!C6)*365</f>
        <v>67.206690209927402</v>
      </c>
      <c r="D12" s="33">
        <f>(D10/'Income Statement'!D6)*365</f>
        <v>57.049756625202811</v>
      </c>
      <c r="E12" s="33">
        <f>(E10/'Income Statement'!E6)*365</f>
        <v>63.430511506871589</v>
      </c>
      <c r="F12" s="33">
        <f>(F10/'Income Statement'!F6)*365</f>
        <v>58.162990463711147</v>
      </c>
      <c r="G12" s="33">
        <f>(G10/'Income Statement'!G6)*365</f>
        <v>59.582522923034183</v>
      </c>
      <c r="H12" s="71"/>
      <c r="I12" s="58">
        <f>MEDIAN($C$12:$G$12)</f>
        <v>59.582522923034183</v>
      </c>
      <c r="J12" s="58">
        <f t="shared" ref="J12:M12" si="2">MEDIAN($C$12:$G$12)</f>
        <v>59.582522923034183</v>
      </c>
      <c r="K12" s="58">
        <f t="shared" si="2"/>
        <v>59.582522923034183</v>
      </c>
      <c r="L12" s="58">
        <f t="shared" si="2"/>
        <v>59.582522923034183</v>
      </c>
      <c r="M12" s="58">
        <f t="shared" si="2"/>
        <v>59.582522923034183</v>
      </c>
    </row>
    <row r="13" spans="1:13" ht="15.75" x14ac:dyDescent="0.25">
      <c r="A13" s="78"/>
      <c r="B13" s="29"/>
      <c r="C13" s="34"/>
      <c r="D13" s="34"/>
      <c r="E13" s="34"/>
      <c r="F13" s="34"/>
      <c r="G13" s="34"/>
      <c r="H13" s="68"/>
      <c r="I13" s="68"/>
      <c r="J13" s="68"/>
      <c r="K13" s="68"/>
      <c r="L13" s="68"/>
      <c r="M13" s="68"/>
    </row>
    <row r="14" spans="1:13" ht="15.75" x14ac:dyDescent="0.25">
      <c r="A14" s="78"/>
      <c r="B14" s="30" t="s">
        <v>106</v>
      </c>
      <c r="C14" s="365">
        <v>0</v>
      </c>
      <c r="D14" s="365">
        <v>0</v>
      </c>
      <c r="E14" s="365">
        <v>276</v>
      </c>
      <c r="F14" s="365">
        <v>274</v>
      </c>
      <c r="G14" s="365">
        <v>287</v>
      </c>
      <c r="H14" s="366"/>
      <c r="I14" s="367">
        <f>I16*'Income Statement'!I6/365</f>
        <v>351.3733760262237</v>
      </c>
      <c r="J14" s="367">
        <f>J16*'Income Statement'!J6/365</f>
        <v>366.43697033822411</v>
      </c>
      <c r="K14" s="367">
        <f>K16*'Income Statement'!K6/365</f>
        <v>380.58632295287981</v>
      </c>
      <c r="L14" s="367">
        <f>L16*'Income Statement'!L6/365</f>
        <v>393.64719292089728</v>
      </c>
      <c r="M14" s="367">
        <f>M16*'Income Statement'!M6/365</f>
        <v>405.45660870852424</v>
      </c>
    </row>
    <row r="15" spans="1:13" ht="15.75" x14ac:dyDescent="0.25">
      <c r="A15" s="78"/>
      <c r="B15" s="31" t="s">
        <v>114</v>
      </c>
      <c r="C15" s="32">
        <f>C14/'Income Statement'!C6</f>
        <v>0</v>
      </c>
      <c r="D15" s="32">
        <f>D14/'Income Statement'!D6</f>
        <v>0</v>
      </c>
      <c r="E15" s="32">
        <f>E14/'Income Statement'!E6</f>
        <v>2.2444498658209321E-2</v>
      </c>
      <c r="F15" s="32">
        <f>F14/'Income Statement'!F6</f>
        <v>1.9946130887384436E-2</v>
      </c>
      <c r="G15" s="32">
        <f>G14/'Income Statement'!G6</f>
        <v>1.9936093359266462E-2</v>
      </c>
      <c r="H15" s="71"/>
      <c r="I15" s="5">
        <f>I14/'Income Statement'!I6</f>
        <v>2.3310591293047436E-2</v>
      </c>
      <c r="J15" s="5">
        <f>J14/'Income Statement'!J6</f>
        <v>2.3310591293047436E-2</v>
      </c>
      <c r="K15" s="5">
        <f>K14/'Income Statement'!K6</f>
        <v>2.3310591293047432E-2</v>
      </c>
      <c r="L15" s="5">
        <f>L14/'Income Statement'!L6</f>
        <v>2.3310591293047432E-2</v>
      </c>
      <c r="M15" s="5">
        <f>M14/'Income Statement'!M6</f>
        <v>2.3310591293047432E-2</v>
      </c>
    </row>
    <row r="16" spans="1:13" ht="15.75" x14ac:dyDescent="0.25">
      <c r="A16" s="78"/>
      <c r="B16" s="26" t="s">
        <v>200</v>
      </c>
      <c r="C16" s="33">
        <f>(C14/'Income Statement'!C9)*365</f>
        <v>0</v>
      </c>
      <c r="D16" s="33">
        <f>(D14/'Income Statement'!D9)*365</f>
        <v>0</v>
      </c>
      <c r="E16" s="33">
        <f>(E14/'Income Statement'!E9)*365</f>
        <v>9.5397727272727266</v>
      </c>
      <c r="F16" s="33">
        <f>(F14/'Income Statement'!F9)*365</f>
        <v>8.5310927237055374</v>
      </c>
      <c r="G16" s="33">
        <f>(G14/'Income Statement'!G9)*365</f>
        <v>8.5083658219623128</v>
      </c>
      <c r="H16" s="71"/>
      <c r="I16" s="58">
        <f>MEDIAN($C$16:$G$16)</f>
        <v>8.5083658219623128</v>
      </c>
      <c r="J16" s="58">
        <f t="shared" ref="J16:M16" si="3">MEDIAN($C$16:$G$16)</f>
        <v>8.5083658219623128</v>
      </c>
      <c r="K16" s="58">
        <f t="shared" si="3"/>
        <v>8.5083658219623128</v>
      </c>
      <c r="L16" s="58">
        <f t="shared" si="3"/>
        <v>8.5083658219623128</v>
      </c>
      <c r="M16" s="58">
        <f t="shared" si="3"/>
        <v>8.5083658219623128</v>
      </c>
    </row>
    <row r="17" spans="1:13" ht="15.75" x14ac:dyDescent="0.25">
      <c r="A17" s="78"/>
      <c r="B17" s="29"/>
      <c r="C17" s="34"/>
      <c r="D17" s="34"/>
      <c r="E17" s="34"/>
      <c r="F17" s="34"/>
      <c r="G17" s="34"/>
      <c r="H17" s="68"/>
      <c r="I17" s="68"/>
      <c r="J17" s="68"/>
      <c r="K17" s="68"/>
      <c r="L17" s="68"/>
      <c r="M17" s="68"/>
    </row>
    <row r="18" spans="1:13" ht="15.75" x14ac:dyDescent="0.25">
      <c r="A18" s="78"/>
      <c r="B18" s="30" t="s">
        <v>201</v>
      </c>
      <c r="C18" s="365">
        <v>635</v>
      </c>
      <c r="D18" s="365">
        <v>410</v>
      </c>
      <c r="E18" s="365">
        <v>402</v>
      </c>
      <c r="F18" s="365">
        <v>429</v>
      </c>
      <c r="G18" s="365">
        <v>490</v>
      </c>
      <c r="H18" s="366"/>
      <c r="I18" s="367">
        <f>I19*'Income Statement'!I6</f>
        <v>492.7679367323143</v>
      </c>
      <c r="J18" s="367">
        <f>J19*'Income Statement'!J6</f>
        <v>513.89320345810938</v>
      </c>
      <c r="K18" s="367">
        <f>K19*'Income Statement'!K6</f>
        <v>533.73633264699117</v>
      </c>
      <c r="L18" s="367">
        <f>L19*'Income Statement'!L6</f>
        <v>552.05296784244968</v>
      </c>
      <c r="M18" s="367">
        <f>M19*'Income Statement'!M6</f>
        <v>568.6145568777232</v>
      </c>
    </row>
    <row r="19" spans="1:13" ht="15.75" x14ac:dyDescent="0.25">
      <c r="A19" s="78"/>
      <c r="B19" s="26" t="s">
        <v>114</v>
      </c>
      <c r="C19" s="35">
        <f>C18/'Income Statement'!C6</f>
        <v>6.2291544045516969E-2</v>
      </c>
      <c r="D19" s="35">
        <f>D18/'Income Statement'!D6</f>
        <v>3.6956913647016407E-2</v>
      </c>
      <c r="E19" s="35">
        <f>E18/'Income Statement'!E6</f>
        <v>3.2690900219565749E-2</v>
      </c>
      <c r="F19" s="35">
        <f>F18/'Income Statement'!F6</f>
        <v>3.1229526097401178E-2</v>
      </c>
      <c r="G19" s="35">
        <f>G18/'Income Statement'!G6</f>
        <v>3.4037232564601276E-2</v>
      </c>
      <c r="H19" s="71"/>
      <c r="I19" s="59">
        <f>MEDIAN($E$19:$G$19)</f>
        <v>3.2690900219565749E-2</v>
      </c>
      <c r="J19" s="59">
        <f t="shared" ref="J19:M19" si="4">MEDIAN($E$19:$G$19)</f>
        <v>3.2690900219565749E-2</v>
      </c>
      <c r="K19" s="59">
        <f t="shared" si="4"/>
        <v>3.2690900219565749E-2</v>
      </c>
      <c r="L19" s="59">
        <f t="shared" si="4"/>
        <v>3.2690900219565749E-2</v>
      </c>
      <c r="M19" s="59">
        <f t="shared" si="4"/>
        <v>3.2690900219565749E-2</v>
      </c>
    </row>
    <row r="20" spans="1:13" ht="15.75" x14ac:dyDescent="0.25">
      <c r="A20" s="78"/>
      <c r="B20" s="29"/>
      <c r="C20" s="45"/>
      <c r="D20" s="34"/>
      <c r="E20" s="34"/>
      <c r="F20" s="34"/>
      <c r="G20" s="34"/>
      <c r="H20" s="68"/>
      <c r="I20" s="68"/>
      <c r="J20" s="68"/>
      <c r="K20" s="68"/>
      <c r="L20" s="68"/>
      <c r="M20" s="68"/>
    </row>
    <row r="21" spans="1:13" ht="15.75" x14ac:dyDescent="0.25">
      <c r="A21" s="78"/>
      <c r="B21" s="36" t="s">
        <v>108</v>
      </c>
      <c r="C21" s="375">
        <f>SUM(C18,C14,C10,C7)</f>
        <v>2839</v>
      </c>
      <c r="D21" s="375">
        <f t="shared" ref="D21:G21" si="5">SUM(D18,D14,D10,D7)</f>
        <v>2812</v>
      </c>
      <c r="E21" s="375">
        <f t="shared" si="5"/>
        <v>3339</v>
      </c>
      <c r="F21" s="375">
        <f t="shared" si="5"/>
        <v>3619</v>
      </c>
      <c r="G21" s="375">
        <f t="shared" si="5"/>
        <v>3643</v>
      </c>
      <c r="H21" s="366"/>
      <c r="I21" s="376">
        <f>I7+I10+I14+I18</f>
        <v>4468.4309967620156</v>
      </c>
      <c r="J21" s="376">
        <f t="shared" ref="J21:M21" si="6">J7+J10+J14+J18</f>
        <v>5155.8081569370624</v>
      </c>
      <c r="K21" s="376">
        <f t="shared" si="6"/>
        <v>5871.276656160132</v>
      </c>
      <c r="L21" s="376">
        <f t="shared" si="6"/>
        <v>6613.9911701512146</v>
      </c>
      <c r="M21" s="376">
        <f t="shared" si="6"/>
        <v>7374.3418639044903</v>
      </c>
    </row>
    <row r="22" spans="1:13" ht="15.75" x14ac:dyDescent="0.25">
      <c r="A22" s="78"/>
      <c r="B22" s="37"/>
      <c r="C22" s="379"/>
      <c r="D22" s="379"/>
      <c r="E22" s="379"/>
      <c r="F22" s="379"/>
      <c r="G22" s="379"/>
      <c r="H22" s="366"/>
      <c r="I22" s="366"/>
      <c r="J22" s="366"/>
      <c r="K22" s="366"/>
      <c r="L22" s="366"/>
      <c r="M22" s="366"/>
    </row>
    <row r="23" spans="1:13" ht="15.75" x14ac:dyDescent="0.25">
      <c r="A23" s="78"/>
      <c r="B23" s="30" t="s">
        <v>202</v>
      </c>
      <c r="C23" s="365">
        <v>161</v>
      </c>
      <c r="D23" s="365">
        <v>687</v>
      </c>
      <c r="E23" s="365">
        <v>1185</v>
      </c>
      <c r="F23" s="365">
        <v>1282</v>
      </c>
      <c r="G23" s="365">
        <v>1392</v>
      </c>
      <c r="H23" s="366"/>
      <c r="I23" s="367">
        <f>I24*'Income Statement'!I6</f>
        <v>1452.5622015616725</v>
      </c>
      <c r="J23" s="367">
        <f>J24*'Income Statement'!J6</f>
        <v>1514.8344430295012</v>
      </c>
      <c r="K23" s="367">
        <f>K24*'Income Statement'!K6</f>
        <v>1573.3272492206081</v>
      </c>
      <c r="L23" s="367">
        <f>L24*'Income Statement'!L6</f>
        <v>1627.3203156549821</v>
      </c>
      <c r="M23" s="367">
        <f>M24*'Income Statement'!M6</f>
        <v>1676.1399251246316</v>
      </c>
    </row>
    <row r="24" spans="1:13" ht="15.75" x14ac:dyDescent="0.25">
      <c r="A24" s="78"/>
      <c r="B24" s="26" t="s">
        <v>114</v>
      </c>
      <c r="C24" s="35">
        <f>C23/'Income Statement'!C6</f>
        <v>1.5793604080831861E-2</v>
      </c>
      <c r="D24" s="35">
        <f>D23/'Income Statement'!D6</f>
        <v>6.1925365062195779E-2</v>
      </c>
      <c r="E24" s="35">
        <f>E23/'Income Statement'!E6</f>
        <v>9.6364967065137835E-2</v>
      </c>
      <c r="F24" s="35">
        <f>F23/'Income Statement'!F6</f>
        <v>9.3324597801557843E-2</v>
      </c>
      <c r="G24" s="35">
        <f>G23/'Income Statement'!G6</f>
        <v>9.6693525979438727E-2</v>
      </c>
      <c r="H24" s="71"/>
      <c r="I24" s="59">
        <f>MEDIAN($E$24:$G$24)</f>
        <v>9.6364967065137835E-2</v>
      </c>
      <c r="J24" s="59">
        <f t="shared" ref="J24:M24" si="7">MEDIAN($E$24:$G$24)</f>
        <v>9.6364967065137835E-2</v>
      </c>
      <c r="K24" s="59">
        <f t="shared" si="7"/>
        <v>9.6364967065137835E-2</v>
      </c>
      <c r="L24" s="59">
        <f t="shared" si="7"/>
        <v>9.6364967065137835E-2</v>
      </c>
      <c r="M24" s="59">
        <f t="shared" si="7"/>
        <v>9.6364967065137835E-2</v>
      </c>
    </row>
    <row r="25" spans="1:13" ht="15.75" x14ac:dyDescent="0.25">
      <c r="A25" s="78"/>
      <c r="B25" s="37"/>
      <c r="C25" s="38"/>
      <c r="D25" s="39"/>
      <c r="E25" s="38"/>
      <c r="F25" s="38"/>
      <c r="G25" s="38"/>
      <c r="H25" s="68"/>
      <c r="I25" s="68"/>
      <c r="J25" s="68"/>
      <c r="K25" s="68"/>
      <c r="L25" s="68"/>
      <c r="M25" s="68"/>
    </row>
    <row r="26" spans="1:13" ht="15.75" x14ac:dyDescent="0.25">
      <c r="A26" s="78"/>
      <c r="B26" s="30" t="s">
        <v>14</v>
      </c>
      <c r="C26" s="365">
        <v>73</v>
      </c>
      <c r="D26" s="365">
        <v>121</v>
      </c>
      <c r="E26" s="365">
        <v>183</v>
      </c>
      <c r="F26" s="365">
        <v>104</v>
      </c>
      <c r="G26" s="365">
        <v>129</v>
      </c>
      <c r="H26" s="366"/>
      <c r="I26" s="367">
        <f>I27*'Income Statement'!I6</f>
        <v>135.07141011074933</v>
      </c>
      <c r="J26" s="367">
        <f>J27*'Income Statement'!J6</f>
        <v>136.76193803343787</v>
      </c>
      <c r="K26" s="367">
        <f>K27*'Income Statement'!K6</f>
        <v>138.77742114865777</v>
      </c>
      <c r="L26" s="367">
        <f>L27*'Income Statement'!L6</f>
        <v>138.47383540691681</v>
      </c>
      <c r="M26" s="367">
        <f>M27*'Income Statement'!M6</f>
        <v>137.40995106171732</v>
      </c>
    </row>
    <row r="27" spans="1:13" ht="15.75" x14ac:dyDescent="0.25">
      <c r="A27" s="78"/>
      <c r="B27" s="26" t="s">
        <v>114</v>
      </c>
      <c r="C27" s="35">
        <f>C26/'Income Statement'!C6</f>
        <v>7.1610751422405338E-3</v>
      </c>
      <c r="D27" s="35">
        <f>D26/'Income Statement'!D6</f>
        <v>1.09067964665585E-2</v>
      </c>
      <c r="E27" s="35">
        <f>E26/'Income Statement'!E6</f>
        <v>1.4881678458160527E-2</v>
      </c>
      <c r="F27" s="35">
        <f>F26/'Income Statement'!F6</f>
        <v>7.5707942054305888E-3</v>
      </c>
      <c r="G27" s="35">
        <f>G26/'Income Statement'!G6</f>
        <v>8.9608224506807447E-3</v>
      </c>
      <c r="H27" s="71"/>
      <c r="I27" s="59">
        <f>MEDIAN($E$27:$G$27)</f>
        <v>8.9608224506807447E-3</v>
      </c>
      <c r="J27" s="59">
        <v>8.6999999999999994E-3</v>
      </c>
      <c r="K27" s="59">
        <v>8.5000000000000006E-3</v>
      </c>
      <c r="L27" s="59">
        <v>8.2000000000000007E-3</v>
      </c>
      <c r="M27" s="59">
        <v>7.9000000000000008E-3</v>
      </c>
    </row>
    <row r="28" spans="1:13" ht="15.75" x14ac:dyDescent="0.25">
      <c r="A28" s="78"/>
      <c r="B28" s="37"/>
      <c r="C28" s="38"/>
      <c r="D28" s="38"/>
      <c r="E28" s="38"/>
      <c r="F28" s="38"/>
      <c r="G28" s="38"/>
      <c r="H28" s="68"/>
      <c r="I28" s="68"/>
      <c r="J28" s="68"/>
      <c r="K28" s="68"/>
      <c r="L28" s="68"/>
      <c r="M28" s="68"/>
    </row>
    <row r="29" spans="1:13" ht="15.75" x14ac:dyDescent="0.25">
      <c r="A29" s="78"/>
      <c r="B29" s="40" t="s">
        <v>203</v>
      </c>
      <c r="C29" s="372">
        <v>149</v>
      </c>
      <c r="D29" s="374">
        <f t="shared" ref="D29:G29" si="8">D31+C29</f>
        <v>210</v>
      </c>
      <c r="E29" s="374">
        <f t="shared" si="8"/>
        <v>294</v>
      </c>
      <c r="F29" s="374">
        <f t="shared" si="8"/>
        <v>391</v>
      </c>
      <c r="G29" s="374">
        <f t="shared" si="8"/>
        <v>494</v>
      </c>
      <c r="H29" s="366"/>
      <c r="I29" s="373">
        <f>G29+I31</f>
        <v>600.43767944975843</v>
      </c>
      <c r="J29" s="373">
        <f>I29+J31</f>
        <v>715.19194929390744</v>
      </c>
      <c r="K29" s="373">
        <f t="shared" ref="K29:M29" si="9">J29+K31</f>
        <v>837.64261501331134</v>
      </c>
      <c r="L29" s="373">
        <f t="shared" si="9"/>
        <v>967.67292387102589</v>
      </c>
      <c r="M29" s="373">
        <f t="shared" si="9"/>
        <v>1105.0828749327432</v>
      </c>
    </row>
    <row r="30" spans="1:13" ht="15.75" x14ac:dyDescent="0.25">
      <c r="A30" s="78"/>
      <c r="B30" s="29"/>
      <c r="C30" s="371"/>
      <c r="D30" s="371"/>
      <c r="E30" s="371"/>
      <c r="F30" s="371"/>
      <c r="G30" s="371"/>
      <c r="H30" s="366"/>
      <c r="I30" s="366"/>
      <c r="J30" s="366"/>
      <c r="K30" s="366"/>
      <c r="L30" s="366"/>
      <c r="M30" s="366"/>
    </row>
    <row r="31" spans="1:13" ht="15.75" x14ac:dyDescent="0.25">
      <c r="A31" s="78"/>
      <c r="B31" s="30" t="s">
        <v>204</v>
      </c>
      <c r="C31" s="380">
        <f>257-C42</f>
        <v>56</v>
      </c>
      <c r="D31" s="380">
        <f>234-D42</f>
        <v>61</v>
      </c>
      <c r="E31" s="380">
        <f>282-E42</f>
        <v>84</v>
      </c>
      <c r="F31" s="380">
        <f>325-F42</f>
        <v>97</v>
      </c>
      <c r="G31" s="380">
        <f>333-G42</f>
        <v>103</v>
      </c>
      <c r="H31" s="366"/>
      <c r="I31" s="367">
        <f>I32*'Income Statement'!I6</f>
        <v>106.43767944975839</v>
      </c>
      <c r="J31" s="367">
        <f>J32*'Income Statement'!J6</f>
        <v>114.75426984414902</v>
      </c>
      <c r="K31" s="367">
        <f>K32*'Income Statement'!K6</f>
        <v>122.45066571940391</v>
      </c>
      <c r="L31" s="367">
        <f>L32*'Income Statement'!L6</f>
        <v>130.03030885771454</v>
      </c>
      <c r="M31" s="367">
        <f>M32*'Income Statement'!M6</f>
        <v>137.40995106171732</v>
      </c>
    </row>
    <row r="32" spans="1:13" ht="15.75" x14ac:dyDescent="0.25">
      <c r="A32" s="78"/>
      <c r="B32" s="26" t="s">
        <v>114</v>
      </c>
      <c r="C32" s="35">
        <f>C31/'Income Statement'!C6</f>
        <v>5.4934275063762998E-3</v>
      </c>
      <c r="D32" s="35">
        <f>D31/'Income Statement'!D6</f>
        <v>5.4984676401658552E-3</v>
      </c>
      <c r="E32" s="35">
        <f>E31/'Income Statement'!E6</f>
        <v>6.8309343742376186E-3</v>
      </c>
      <c r="F32" s="35">
        <f>F31/'Income Statement'!F6</f>
        <v>7.0612215185266074E-3</v>
      </c>
      <c r="G32" s="35">
        <f>G31/'Income Statement'!G6</f>
        <v>7.1547652125590446E-3</v>
      </c>
      <c r="H32" s="32"/>
      <c r="I32" s="59">
        <f>MEDIAN($E$32:$G$32)</f>
        <v>7.0612215185266074E-3</v>
      </c>
      <c r="J32" s="59">
        <v>7.3000000000000001E-3</v>
      </c>
      <c r="K32" s="59">
        <v>7.4999999999999997E-3</v>
      </c>
      <c r="L32" s="59">
        <v>7.7000000000000002E-3</v>
      </c>
      <c r="M32" s="59">
        <v>7.9000000000000008E-3</v>
      </c>
    </row>
    <row r="33" spans="1:13" ht="15.75" x14ac:dyDescent="0.25">
      <c r="A33" s="78"/>
      <c r="B33" s="29"/>
      <c r="C33" s="34"/>
      <c r="D33" s="34"/>
      <c r="E33" s="34"/>
      <c r="F33" s="34"/>
      <c r="G33" s="34"/>
      <c r="H33" s="68"/>
      <c r="I33" s="68"/>
      <c r="J33" s="68"/>
      <c r="K33" s="68"/>
      <c r="L33" s="68"/>
      <c r="M33" s="68"/>
    </row>
    <row r="34" spans="1:13" ht="15.75" x14ac:dyDescent="0.25">
      <c r="A34" s="78"/>
      <c r="B34" s="40" t="s">
        <v>205</v>
      </c>
      <c r="C34" s="372">
        <v>237</v>
      </c>
      <c r="D34" s="372">
        <v>287</v>
      </c>
      <c r="E34" s="372">
        <v>604</v>
      </c>
      <c r="F34" s="372">
        <v>670</v>
      </c>
      <c r="G34" s="372">
        <v>847</v>
      </c>
      <c r="H34" s="366"/>
      <c r="I34" s="373">
        <f>I23+I26-I29</f>
        <v>987.19593222266349</v>
      </c>
      <c r="J34" s="373">
        <f t="shared" ref="J34:M34" si="10">J23+J26-J29</f>
        <v>936.4044317690317</v>
      </c>
      <c r="K34" s="373">
        <f t="shared" si="10"/>
        <v>874.46205535595459</v>
      </c>
      <c r="L34" s="373">
        <f t="shared" si="10"/>
        <v>798.12122719087301</v>
      </c>
      <c r="M34" s="373">
        <f t="shared" si="10"/>
        <v>708.46700125360576</v>
      </c>
    </row>
    <row r="35" spans="1:13" ht="15.75" x14ac:dyDescent="0.25">
      <c r="A35" s="78"/>
      <c r="B35" s="29"/>
      <c r="C35" s="371"/>
      <c r="D35" s="371"/>
      <c r="E35" s="371"/>
      <c r="F35" s="371"/>
      <c r="G35" s="371"/>
      <c r="H35" s="366"/>
      <c r="I35" s="366"/>
      <c r="J35" s="366"/>
      <c r="K35" s="366"/>
      <c r="L35" s="366"/>
      <c r="M35" s="366"/>
    </row>
    <row r="36" spans="1:13" ht="15.75" x14ac:dyDescent="0.25">
      <c r="A36" s="78"/>
      <c r="B36" s="40" t="s">
        <v>206</v>
      </c>
      <c r="C36" s="372">
        <v>4860</v>
      </c>
      <c r="D36" s="372">
        <v>4912</v>
      </c>
      <c r="E36" s="372">
        <v>6313</v>
      </c>
      <c r="F36" s="372">
        <v>6744</v>
      </c>
      <c r="G36" s="372">
        <v>6696</v>
      </c>
      <c r="H36" s="366"/>
      <c r="I36" s="373">
        <f>G36</f>
        <v>6696</v>
      </c>
      <c r="J36" s="373">
        <f>I36</f>
        <v>6696</v>
      </c>
      <c r="K36" s="373">
        <f t="shared" ref="K36:M36" si="11">J36</f>
        <v>6696</v>
      </c>
      <c r="L36" s="373">
        <f t="shared" si="11"/>
        <v>6696</v>
      </c>
      <c r="M36" s="373">
        <f t="shared" si="11"/>
        <v>6696</v>
      </c>
    </row>
    <row r="37" spans="1:13" ht="15.75" x14ac:dyDescent="0.25">
      <c r="A37" s="78"/>
      <c r="B37" s="29"/>
      <c r="C37" s="371"/>
      <c r="D37" s="371"/>
      <c r="E37" s="371"/>
      <c r="F37" s="371"/>
      <c r="G37" s="371"/>
      <c r="H37" s="366"/>
      <c r="I37" s="366"/>
      <c r="J37" s="366"/>
      <c r="K37" s="366"/>
      <c r="L37" s="366"/>
      <c r="M37" s="366"/>
    </row>
    <row r="38" spans="1:13" ht="15.75" x14ac:dyDescent="0.25">
      <c r="A38" s="78"/>
      <c r="B38" s="40" t="s">
        <v>207</v>
      </c>
      <c r="C38" s="372">
        <f>C45+C40</f>
        <v>1218</v>
      </c>
      <c r="D38" s="372">
        <f t="shared" ref="D38:G38" si="12">D45+D40</f>
        <v>1269</v>
      </c>
      <c r="E38" s="372">
        <f t="shared" si="12"/>
        <v>2153</v>
      </c>
      <c r="F38" s="372">
        <f t="shared" si="12"/>
        <v>2342</v>
      </c>
      <c r="G38" s="372">
        <f t="shared" si="12"/>
        <v>2347</v>
      </c>
      <c r="H38" s="366"/>
      <c r="I38" s="373">
        <f>I40+I45</f>
        <v>2929.2235927386728</v>
      </c>
      <c r="J38" s="373">
        <f t="shared" ref="J38:M38" si="13">J40+J45</f>
        <v>3237.7033043408496</v>
      </c>
      <c r="K38" s="373">
        <f t="shared" si="13"/>
        <v>3552.596087241951</v>
      </c>
      <c r="L38" s="373">
        <f t="shared" si="13"/>
        <v>3872.5096416873007</v>
      </c>
      <c r="M38" s="373">
        <f t="shared" si="13"/>
        <v>4195.980519604962</v>
      </c>
    </row>
    <row r="39" spans="1:13" ht="15.75" x14ac:dyDescent="0.25">
      <c r="A39" s="78"/>
      <c r="B39" s="37"/>
      <c r="C39" s="379"/>
      <c r="D39" s="379"/>
      <c r="E39" s="379"/>
      <c r="F39" s="379"/>
      <c r="G39" s="379"/>
      <c r="H39" s="366"/>
      <c r="I39" s="366"/>
      <c r="J39" s="366"/>
      <c r="K39" s="366"/>
      <c r="L39" s="366"/>
      <c r="M39" s="366"/>
    </row>
    <row r="40" spans="1:13" ht="15.75" x14ac:dyDescent="0.25">
      <c r="A40" s="78"/>
      <c r="B40" s="40" t="s">
        <v>208</v>
      </c>
      <c r="C40" s="372">
        <v>566</v>
      </c>
      <c r="D40" s="374">
        <f t="shared" ref="D40:G40" si="14">C40+D42</f>
        <v>739</v>
      </c>
      <c r="E40" s="374">
        <f t="shared" si="14"/>
        <v>937</v>
      </c>
      <c r="F40" s="374">
        <f t="shared" si="14"/>
        <v>1165</v>
      </c>
      <c r="G40" s="374">
        <f t="shared" si="14"/>
        <v>1395</v>
      </c>
      <c r="H40" s="366"/>
      <c r="I40" s="373">
        <f>G40+I42</f>
        <v>1637.7065957039756</v>
      </c>
      <c r="J40" s="373">
        <f>I40+J42</f>
        <v>1890.8181735266264</v>
      </c>
      <c r="K40" s="373">
        <f t="shared" ref="K40:M40" si="15">J40+K42</f>
        <v>2153.70323289007</v>
      </c>
      <c r="L40" s="373">
        <f t="shared" si="15"/>
        <v>2425.6099185438138</v>
      </c>
      <c r="M40" s="373">
        <f t="shared" si="15"/>
        <v>2705.6738047671702</v>
      </c>
    </row>
    <row r="41" spans="1:13" ht="15.75" x14ac:dyDescent="0.25">
      <c r="A41" s="78"/>
      <c r="B41" s="29"/>
      <c r="C41" s="371"/>
      <c r="D41" s="371"/>
      <c r="E41" s="371"/>
      <c r="F41" s="371"/>
      <c r="G41" s="371"/>
      <c r="H41" s="366"/>
      <c r="I41" s="366"/>
      <c r="J41" s="366"/>
      <c r="K41" s="366"/>
      <c r="L41" s="366"/>
      <c r="M41" s="366"/>
    </row>
    <row r="42" spans="1:13" ht="15.75" x14ac:dyDescent="0.25">
      <c r="A42" s="78"/>
      <c r="B42" s="30" t="s">
        <v>209</v>
      </c>
      <c r="C42" s="365">
        <v>201</v>
      </c>
      <c r="D42" s="365">
        <v>173</v>
      </c>
      <c r="E42" s="365">
        <v>198</v>
      </c>
      <c r="F42" s="365">
        <v>228</v>
      </c>
      <c r="G42" s="365">
        <v>230</v>
      </c>
      <c r="H42" s="366"/>
      <c r="I42" s="367">
        <f>I43*'Income Statement'!I6</f>
        <v>242.70659570397569</v>
      </c>
      <c r="J42" s="367">
        <f>J43*'Income Statement'!J6</f>
        <v>253.1115778226509</v>
      </c>
      <c r="K42" s="367">
        <f>K43*'Income Statement'!K6</f>
        <v>262.88505936344342</v>
      </c>
      <c r="L42" s="367">
        <f>L43*'Income Statement'!L6</f>
        <v>271.90668565374386</v>
      </c>
      <c r="M42" s="367">
        <f>M43*'Income Statement'!M6</f>
        <v>280.06388622335623</v>
      </c>
    </row>
    <row r="43" spans="1:13" ht="15.75" x14ac:dyDescent="0.25">
      <c r="A43" s="78"/>
      <c r="B43" s="26" t="s">
        <v>114</v>
      </c>
      <c r="C43" s="35">
        <f>C42/'Income Statement'!C6</f>
        <v>1.9717480871100649E-2</v>
      </c>
      <c r="D43" s="35">
        <f>D42/'Income Statement'!D6</f>
        <v>1.5594014782765458E-2</v>
      </c>
      <c r="E43" s="35">
        <f>E42/'Income Statement'!E6</f>
        <v>1.6101488167845818E-2</v>
      </c>
      <c r="F43" s="35">
        <f>F42/'Income Statement'!F6</f>
        <v>1.6597510373443983E-2</v>
      </c>
      <c r="G43" s="35">
        <f>G42/'Income Statement'!G6</f>
        <v>1.5976660183384273E-2</v>
      </c>
      <c r="H43" s="32"/>
      <c r="I43" s="59">
        <f>MEDIAN($E$43:$G$43)</f>
        <v>1.6101488167845818E-2</v>
      </c>
      <c r="J43" s="59">
        <f t="shared" ref="J43:M43" si="16">MEDIAN($E$43:$G$43)</f>
        <v>1.6101488167845818E-2</v>
      </c>
      <c r="K43" s="59">
        <f t="shared" si="16"/>
        <v>1.6101488167845818E-2</v>
      </c>
      <c r="L43" s="59">
        <f t="shared" si="16"/>
        <v>1.6101488167845818E-2</v>
      </c>
      <c r="M43" s="59">
        <f t="shared" si="16"/>
        <v>1.6101488167845818E-2</v>
      </c>
    </row>
    <row r="44" spans="1:13" ht="15.75" x14ac:dyDescent="0.25">
      <c r="A44" s="78"/>
      <c r="B44" s="37"/>
      <c r="C44" s="38"/>
      <c r="D44" s="38"/>
      <c r="E44" s="38"/>
      <c r="F44" s="38"/>
      <c r="G44" s="38"/>
      <c r="H44" s="68"/>
      <c r="I44" s="68"/>
      <c r="J44" s="68"/>
      <c r="K44" s="68"/>
      <c r="L44" s="68"/>
      <c r="M44" s="68"/>
    </row>
    <row r="45" spans="1:13" ht="15.75" x14ac:dyDescent="0.25">
      <c r="A45" s="78"/>
      <c r="B45" s="30" t="s">
        <v>210</v>
      </c>
      <c r="C45" s="365">
        <v>652</v>
      </c>
      <c r="D45" s="365">
        <v>530</v>
      </c>
      <c r="E45" s="365">
        <v>1216</v>
      </c>
      <c r="F45" s="365">
        <v>1177</v>
      </c>
      <c r="G45" s="365">
        <v>952</v>
      </c>
      <c r="H45" s="366"/>
      <c r="I45" s="367">
        <f>I46*'Income Statement'!I6</f>
        <v>1291.5169970346972</v>
      </c>
      <c r="J45" s="367">
        <f>J46*'Income Statement'!J6</f>
        <v>1346.8851308142232</v>
      </c>
      <c r="K45" s="367">
        <f>K46*'Income Statement'!K6</f>
        <v>1398.8928543518809</v>
      </c>
      <c r="L45" s="367">
        <f>L46*'Income Statement'!L6</f>
        <v>1446.8997231434869</v>
      </c>
      <c r="M45" s="367">
        <f>M46*'Income Statement'!M6</f>
        <v>1490.3067148377916</v>
      </c>
    </row>
    <row r="46" spans="1:13" ht="15.75" x14ac:dyDescent="0.25">
      <c r="A46" s="78"/>
      <c r="B46" s="26" t="s">
        <v>114</v>
      </c>
      <c r="C46" s="42">
        <f>C45/'Income Statement'!C6</f>
        <v>6.39591916813812E-2</v>
      </c>
      <c r="D46" s="42">
        <f>D45/'Income Statement'!D6</f>
        <v>4.7773571299801691E-2</v>
      </c>
      <c r="E46" s="42">
        <f>E45/'Income Statement'!E6</f>
        <v>9.8885907131820772E-2</v>
      </c>
      <c r="F46" s="42">
        <f>F45/'Income Statement'!F6</f>
        <v>8.5681007497998105E-2</v>
      </c>
      <c r="G46" s="42">
        <f>G45/'Income Statement'!G6</f>
        <v>6.6129480411225336E-2</v>
      </c>
      <c r="H46" s="71"/>
      <c r="I46" s="60">
        <f>MEDIAN($E$46:$G$46)</f>
        <v>8.5681007497998105E-2</v>
      </c>
      <c r="J46" s="60">
        <f t="shared" ref="J46:M46" si="17">MEDIAN($E$46:$G$46)</f>
        <v>8.5681007497998105E-2</v>
      </c>
      <c r="K46" s="60">
        <f t="shared" si="17"/>
        <v>8.5681007497998105E-2</v>
      </c>
      <c r="L46" s="60">
        <f t="shared" si="17"/>
        <v>8.5681007497998105E-2</v>
      </c>
      <c r="M46" s="60">
        <f t="shared" si="17"/>
        <v>8.5681007497998105E-2</v>
      </c>
    </row>
    <row r="47" spans="1:13" ht="15.75" x14ac:dyDescent="0.25">
      <c r="A47" s="78"/>
      <c r="B47" s="29"/>
      <c r="C47" s="38"/>
      <c r="D47" s="38"/>
      <c r="E47" s="38"/>
      <c r="F47" s="38"/>
      <c r="G47" s="38"/>
      <c r="H47" s="68"/>
      <c r="I47" s="68"/>
      <c r="J47" s="68"/>
      <c r="K47" s="68"/>
      <c r="L47" s="68"/>
      <c r="M47" s="68"/>
    </row>
    <row r="48" spans="1:13" ht="15.75" x14ac:dyDescent="0.25">
      <c r="A48" s="78"/>
      <c r="B48" s="30" t="s">
        <v>211</v>
      </c>
      <c r="C48" s="365">
        <v>182</v>
      </c>
      <c r="D48" s="365">
        <v>826</v>
      </c>
      <c r="E48" s="365">
        <v>1039</v>
      </c>
      <c r="F48" s="365">
        <v>1051</v>
      </c>
      <c r="G48" s="365">
        <v>933</v>
      </c>
      <c r="H48" s="366"/>
      <c r="I48" s="367">
        <f>I49*'Income Statement'!I6</f>
        <v>1153.2577433164543</v>
      </c>
      <c r="J48" s="367">
        <f>J49*'Income Statement'!J6</f>
        <v>1202.6986172351305</v>
      </c>
      <c r="K48" s="367">
        <f>K49*'Income Statement'!K6</f>
        <v>1249.1388189667177</v>
      </c>
      <c r="L48" s="367">
        <f>L49*'Income Statement'!L6</f>
        <v>1292.0064647610916</v>
      </c>
      <c r="M48" s="367">
        <f>M49*'Income Statement'!M6</f>
        <v>1330.7666587039243</v>
      </c>
    </row>
    <row r="49" spans="1:13" ht="15.75" x14ac:dyDescent="0.25">
      <c r="A49" s="78"/>
      <c r="B49" s="26" t="s">
        <v>114</v>
      </c>
      <c r="C49" s="35">
        <f>C48/'Income Statement'!C6</f>
        <v>1.7853639395722973E-2</v>
      </c>
      <c r="D49" s="35">
        <f>D48/'Income Statement'!D6</f>
        <v>7.4454660176672072E-2</v>
      </c>
      <c r="E49" s="35">
        <f>E48/'Income Statement'!E6</f>
        <v>8.4492152557534353E-2</v>
      </c>
      <c r="F49" s="35">
        <f>F48/'Income Statement'!F6</f>
        <v>7.6508699133726432E-2</v>
      </c>
      <c r="G49" s="35">
        <f>G48/'Income Statement'!G6</f>
        <v>6.4809669352597937E-2</v>
      </c>
      <c r="H49" s="71"/>
      <c r="I49" s="59">
        <f>MEDIAN($E$49:$G$49)</f>
        <v>7.6508699133726432E-2</v>
      </c>
      <c r="J49" s="59">
        <f t="shared" ref="J49:M49" si="18">MEDIAN($E$49:$G$49)</f>
        <v>7.6508699133726432E-2</v>
      </c>
      <c r="K49" s="59">
        <f t="shared" si="18"/>
        <v>7.6508699133726432E-2</v>
      </c>
      <c r="L49" s="59">
        <f t="shared" si="18"/>
        <v>7.6508699133726432E-2</v>
      </c>
      <c r="M49" s="59">
        <f t="shared" si="18"/>
        <v>7.6508699133726432E-2</v>
      </c>
    </row>
    <row r="50" spans="1:13" ht="15.75" x14ac:dyDescent="0.25">
      <c r="A50" s="78"/>
      <c r="B50" s="29"/>
      <c r="C50" s="34"/>
      <c r="D50" s="34"/>
      <c r="E50" s="34"/>
      <c r="F50" s="34"/>
      <c r="G50" s="34"/>
      <c r="H50" s="68"/>
      <c r="I50" s="68"/>
      <c r="J50" s="68"/>
      <c r="K50" s="68"/>
      <c r="L50" s="68"/>
      <c r="M50" s="68"/>
    </row>
    <row r="51" spans="1:13" ht="15.75" x14ac:dyDescent="0.25">
      <c r="A51" s="161" t="s">
        <v>181</v>
      </c>
      <c r="B51" s="36" t="s">
        <v>212</v>
      </c>
      <c r="C51" s="375">
        <f>C34+C36+C45+C48+C21</f>
        <v>8770</v>
      </c>
      <c r="D51" s="375">
        <f>D34+D36+D45+D48+D21</f>
        <v>9367</v>
      </c>
      <c r="E51" s="375">
        <f>E34+E36+E45+E48+E21</f>
        <v>12511</v>
      </c>
      <c r="F51" s="375">
        <f>F34+F36+F45+F48+F21</f>
        <v>13261</v>
      </c>
      <c r="G51" s="375">
        <f>G34+G36+G45+G48+G21</f>
        <v>13071</v>
      </c>
      <c r="H51" s="366"/>
      <c r="I51" s="376">
        <f>I21+I34+I36+I45+I48</f>
        <v>14596.401669335832</v>
      </c>
      <c r="J51" s="376">
        <f t="shared" ref="J51:M51" si="19">J21+J34+J36+J45+J48</f>
        <v>15337.796336755448</v>
      </c>
      <c r="K51" s="376">
        <f t="shared" si="19"/>
        <v>16089.770384834685</v>
      </c>
      <c r="L51" s="376">
        <f t="shared" si="19"/>
        <v>16847.018585246667</v>
      </c>
      <c r="M51" s="376">
        <f t="shared" si="19"/>
        <v>17599.882238699814</v>
      </c>
    </row>
    <row r="52" spans="1:13" ht="15.75" x14ac:dyDescent="0.25">
      <c r="A52" s="78"/>
      <c r="B52" s="29"/>
      <c r="C52" s="34"/>
      <c r="D52" s="41"/>
      <c r="E52" s="34"/>
      <c r="F52" s="34"/>
      <c r="G52" s="78"/>
      <c r="H52" s="68"/>
      <c r="I52" s="68"/>
      <c r="J52" s="68"/>
      <c r="K52" s="68"/>
      <c r="L52" s="68"/>
      <c r="M52" s="68"/>
    </row>
    <row r="53" spans="1:13" ht="15.75" x14ac:dyDescent="0.25">
      <c r="A53" s="505"/>
      <c r="B53" s="505"/>
      <c r="C53" s="24"/>
      <c r="D53" s="24"/>
      <c r="E53" s="24"/>
      <c r="F53" s="24"/>
      <c r="G53" s="24"/>
      <c r="H53" s="68"/>
      <c r="I53" s="68"/>
      <c r="J53" s="68"/>
      <c r="K53" s="68"/>
      <c r="L53" s="68"/>
      <c r="M53" s="68"/>
    </row>
    <row r="54" spans="1:13" ht="15.75" x14ac:dyDescent="0.25">
      <c r="A54" s="505"/>
      <c r="B54" s="505"/>
      <c r="C54" s="24"/>
      <c r="D54" s="24"/>
      <c r="E54" s="24"/>
      <c r="F54" s="24"/>
      <c r="G54" s="24"/>
      <c r="H54" s="68"/>
      <c r="I54" s="68"/>
      <c r="J54" s="68"/>
      <c r="K54" s="68"/>
      <c r="L54" s="68"/>
      <c r="M54" s="68"/>
    </row>
    <row r="55" spans="1:13" ht="15.75" x14ac:dyDescent="0.25">
      <c r="A55" s="79" t="s">
        <v>213</v>
      </c>
      <c r="B55" s="79"/>
      <c r="C55" s="24"/>
      <c r="D55" s="24"/>
      <c r="E55" s="24"/>
      <c r="F55" s="24"/>
      <c r="G55" s="24"/>
      <c r="H55" s="68"/>
      <c r="I55" s="68"/>
      <c r="J55" s="68"/>
      <c r="K55" s="68"/>
      <c r="L55" s="68"/>
      <c r="M55" s="68"/>
    </row>
    <row r="56" spans="1:13" ht="15.75" x14ac:dyDescent="0.25">
      <c r="A56" s="160" t="s">
        <v>181</v>
      </c>
      <c r="B56" s="40" t="s">
        <v>214</v>
      </c>
      <c r="C56" s="372">
        <v>72</v>
      </c>
      <c r="D56" s="372">
        <v>61</v>
      </c>
      <c r="E56" s="372">
        <v>100</v>
      </c>
      <c r="F56" s="372">
        <v>483</v>
      </c>
      <c r="G56" s="372">
        <v>991</v>
      </c>
      <c r="H56" s="366"/>
      <c r="I56" s="373">
        <f>$G$56</f>
        <v>991</v>
      </c>
      <c r="J56" s="373">
        <f t="shared" ref="J56:M56" si="20">$G$56</f>
        <v>991</v>
      </c>
      <c r="K56" s="373">
        <f t="shared" si="20"/>
        <v>991</v>
      </c>
      <c r="L56" s="373">
        <f t="shared" si="20"/>
        <v>991</v>
      </c>
      <c r="M56" s="373">
        <f t="shared" si="20"/>
        <v>991</v>
      </c>
    </row>
    <row r="57" spans="1:13" ht="15.75" x14ac:dyDescent="0.25">
      <c r="A57" s="78"/>
      <c r="B57" s="29"/>
      <c r="C57" s="371"/>
      <c r="D57" s="371"/>
      <c r="E57" s="371"/>
      <c r="F57" s="371"/>
      <c r="G57" s="371"/>
      <c r="H57" s="366"/>
      <c r="I57" s="366"/>
      <c r="J57" s="366"/>
      <c r="K57" s="366"/>
      <c r="L57" s="366"/>
      <c r="M57" s="366"/>
    </row>
    <row r="58" spans="1:13" ht="15.75" x14ac:dyDescent="0.25">
      <c r="A58" s="78"/>
      <c r="B58" s="30" t="s">
        <v>110</v>
      </c>
      <c r="C58" s="365">
        <v>1491</v>
      </c>
      <c r="D58" s="365">
        <v>1837</v>
      </c>
      <c r="E58" s="365">
        <v>2175</v>
      </c>
      <c r="F58" s="365">
        <v>2141</v>
      </c>
      <c r="G58" s="365">
        <v>2254</v>
      </c>
      <c r="H58" s="366"/>
      <c r="I58" s="367">
        <f>('Income Statement'!I9/365)*I60</f>
        <v>2351.1506700619098</v>
      </c>
      <c r="J58" s="367">
        <f>('Income Statement'!J9/365)*J60</f>
        <v>2449.0680850248978</v>
      </c>
      <c r="K58" s="367">
        <f>('Income Statement'!K9/365)*K60</f>
        <v>2540.645770541541</v>
      </c>
      <c r="L58" s="367">
        <f>('Income Statement'!L9/365)*L60</f>
        <v>2624.7434708860742</v>
      </c>
      <c r="M58" s="367">
        <f>('Income Statement'!M9/365)*M60</f>
        <v>2700.301457256458</v>
      </c>
    </row>
    <row r="59" spans="1:13" ht="15.75" x14ac:dyDescent="0.25">
      <c r="A59" s="78"/>
      <c r="B59" s="31" t="s">
        <v>215</v>
      </c>
      <c r="C59" s="43">
        <f>C58/'Income Statement'!C9</f>
        <v>0.1715765247410817</v>
      </c>
      <c r="D59" s="43">
        <f>D58/'Income Statement'!D9</f>
        <v>0.1924366226691808</v>
      </c>
      <c r="E59" s="43">
        <f>E58/'Income Statement'!E9</f>
        <v>0.20596590909090909</v>
      </c>
      <c r="F59" s="43">
        <f>F58/'Income Statement'!F9</f>
        <v>0.18263243197133838</v>
      </c>
      <c r="G59" s="43">
        <f>G58/'Income Statement'!G9</f>
        <v>0.18307342430149448</v>
      </c>
      <c r="H59" s="71"/>
      <c r="I59" s="56">
        <f>I58/'Income Statement'!I9</f>
        <v>0.18307342430149445</v>
      </c>
      <c r="J59" s="56">
        <f>J58/'Income Statement'!J9</f>
        <v>0.18307342430149443</v>
      </c>
      <c r="K59" s="56">
        <f>K58/'Income Statement'!K9</f>
        <v>0.18307342430149445</v>
      </c>
      <c r="L59" s="56">
        <f>L58/'Income Statement'!L9</f>
        <v>0.18307342430149445</v>
      </c>
      <c r="M59" s="56">
        <f>M58/'Income Statement'!M9</f>
        <v>0.18307342430149445</v>
      </c>
    </row>
    <row r="60" spans="1:13" ht="15.75" x14ac:dyDescent="0.25">
      <c r="A60" s="78"/>
      <c r="B60" s="26" t="s">
        <v>216</v>
      </c>
      <c r="C60" s="33">
        <f>(C58*365)/'Income Statement'!C9</f>
        <v>62.625431530494822</v>
      </c>
      <c r="D60" s="33">
        <f>(D58*365)/'Income Statement'!D9</f>
        <v>70.239367274250995</v>
      </c>
      <c r="E60" s="33">
        <f>(E58*365)/'Income Statement'!E9</f>
        <v>75.177556818181813</v>
      </c>
      <c r="F60" s="33">
        <f>(F58*365)/'Income Statement'!F9</f>
        <v>66.660837669538509</v>
      </c>
      <c r="G60" s="33">
        <f>(G58*365)/'Income Statement'!G9</f>
        <v>66.821799870045481</v>
      </c>
      <c r="H60" s="71"/>
      <c r="I60" s="57">
        <f>MEDIAN($C$60:$G$60)</f>
        <v>66.821799870045481</v>
      </c>
      <c r="J60" s="57">
        <f t="shared" ref="J60:M60" si="21">MEDIAN($C$60:$G$60)</f>
        <v>66.821799870045481</v>
      </c>
      <c r="K60" s="57">
        <f t="shared" si="21"/>
        <v>66.821799870045481</v>
      </c>
      <c r="L60" s="57">
        <f t="shared" si="21"/>
        <v>66.821799870045481</v>
      </c>
      <c r="M60" s="57">
        <f t="shared" si="21"/>
        <v>66.821799870045481</v>
      </c>
    </row>
    <row r="61" spans="1:13" ht="15.75" x14ac:dyDescent="0.25">
      <c r="A61" s="78"/>
      <c r="B61" s="29"/>
      <c r="C61" s="34"/>
      <c r="D61" s="34"/>
      <c r="E61" s="34"/>
      <c r="F61" s="34"/>
      <c r="G61" s="34"/>
      <c r="H61" s="68"/>
      <c r="I61" s="68"/>
      <c r="J61" s="68"/>
      <c r="K61" s="68"/>
      <c r="L61" s="68"/>
      <c r="M61" s="68"/>
    </row>
    <row r="62" spans="1:13" ht="15.75" x14ac:dyDescent="0.25">
      <c r="A62" s="78"/>
      <c r="B62" s="30" t="s">
        <v>111</v>
      </c>
      <c r="C62" s="365">
        <v>473</v>
      </c>
      <c r="D62" s="365">
        <v>435</v>
      </c>
      <c r="E62" s="365">
        <v>632</v>
      </c>
      <c r="F62" s="365">
        <v>605</v>
      </c>
      <c r="G62" s="365">
        <v>701</v>
      </c>
      <c r="H62" s="366"/>
      <c r="I62" s="367">
        <f>I63*'Income Statement'!I6</f>
        <v>733.99270145453704</v>
      </c>
      <c r="J62" s="367">
        <f>J63*'Income Statement'!J6</f>
        <v>765.45942328680019</v>
      </c>
      <c r="K62" s="367">
        <f>K63*'Income Statement'!K6</f>
        <v>795.01636259425902</v>
      </c>
      <c r="L62" s="367">
        <f>L63*'Income Statement'!L6</f>
        <v>822.29954306623677</v>
      </c>
      <c r="M62" s="367">
        <f>M63*'Income Statement'!M6</f>
        <v>846.96852935822392</v>
      </c>
    </row>
    <row r="63" spans="1:13" ht="15.75" x14ac:dyDescent="0.25">
      <c r="A63" s="78"/>
      <c r="B63" s="26" t="s">
        <v>114</v>
      </c>
      <c r="C63" s="35">
        <f>C62/'Income Statement'!C6</f>
        <v>4.6399843044928391E-2</v>
      </c>
      <c r="D63" s="35">
        <f>D62/'Income Statement'!D6</f>
        <v>3.9210383991346673E-2</v>
      </c>
      <c r="E63" s="35">
        <f>E62/'Income Statement'!E6</f>
        <v>5.1394649101406849E-2</v>
      </c>
      <c r="F63" s="35">
        <f>F62/'Income Statement'!F6</f>
        <v>4.4041639368129867E-2</v>
      </c>
      <c r="G63" s="35">
        <f>G62/'Income Statement'!G6</f>
        <v>4.8694081689358154E-2</v>
      </c>
      <c r="H63" s="71"/>
      <c r="I63" s="13">
        <f>MEDIAN($E$63:$G$63)</f>
        <v>4.8694081689358154E-2</v>
      </c>
      <c r="J63" s="13">
        <f t="shared" ref="J63:M63" si="22">MEDIAN($E$63:$G$63)</f>
        <v>4.8694081689358154E-2</v>
      </c>
      <c r="K63" s="13">
        <f t="shared" si="22"/>
        <v>4.8694081689358154E-2</v>
      </c>
      <c r="L63" s="13">
        <f t="shared" si="22"/>
        <v>4.8694081689358154E-2</v>
      </c>
      <c r="M63" s="13">
        <f t="shared" si="22"/>
        <v>4.8694081689358154E-2</v>
      </c>
    </row>
    <row r="64" spans="1:13" ht="15.75" x14ac:dyDescent="0.25">
      <c r="A64" s="78"/>
      <c r="B64" s="37"/>
      <c r="C64" s="38"/>
      <c r="D64" s="38"/>
      <c r="E64" s="38"/>
      <c r="F64" s="38"/>
      <c r="G64" s="38"/>
      <c r="H64" s="68"/>
      <c r="I64" s="68"/>
      <c r="J64" s="68"/>
      <c r="K64" s="68"/>
      <c r="L64" s="68"/>
      <c r="M64" s="68"/>
    </row>
    <row r="65" spans="1:13" ht="15.75" x14ac:dyDescent="0.25">
      <c r="A65" s="78"/>
      <c r="B65" s="30" t="s">
        <v>112</v>
      </c>
      <c r="C65" s="377">
        <v>23</v>
      </c>
      <c r="D65" s="377">
        <v>0</v>
      </c>
      <c r="E65" s="377">
        <v>0</v>
      </c>
      <c r="F65" s="377">
        <v>0</v>
      </c>
      <c r="G65" s="377">
        <v>0</v>
      </c>
      <c r="H65" s="366"/>
      <c r="I65" s="378">
        <v>0</v>
      </c>
      <c r="J65" s="378">
        <v>0</v>
      </c>
      <c r="K65" s="378">
        <v>0</v>
      </c>
      <c r="L65" s="378">
        <v>0</v>
      </c>
      <c r="M65" s="378">
        <v>0</v>
      </c>
    </row>
    <row r="66" spans="1:13" ht="15.75" x14ac:dyDescent="0.25">
      <c r="A66" s="78"/>
      <c r="B66" s="44" t="s">
        <v>114</v>
      </c>
      <c r="C66" s="35">
        <f>C65/'Income Statement'!C6</f>
        <v>2.2562291544045519E-3</v>
      </c>
      <c r="D66" s="35">
        <f>D65/'Income Statement'!D6</f>
        <v>0</v>
      </c>
      <c r="E66" s="35">
        <f>E65/'Income Statement'!E6</f>
        <v>0</v>
      </c>
      <c r="F66" s="35">
        <f>F65/'Income Statement'!F6</f>
        <v>0</v>
      </c>
      <c r="G66" s="35">
        <f>G65/'Income Statement'!G6</f>
        <v>0</v>
      </c>
      <c r="H66" s="71"/>
      <c r="I66" s="35">
        <v>0</v>
      </c>
      <c r="J66" s="35">
        <v>0</v>
      </c>
      <c r="K66" s="35">
        <v>0</v>
      </c>
      <c r="L66" s="35">
        <v>0</v>
      </c>
      <c r="M66" s="35">
        <v>0</v>
      </c>
    </row>
    <row r="67" spans="1:13" ht="15.75" x14ac:dyDescent="0.25">
      <c r="A67" s="78"/>
      <c r="B67" s="37"/>
      <c r="C67" s="45"/>
      <c r="D67" s="45"/>
      <c r="E67" s="45"/>
      <c r="F67" s="45"/>
      <c r="G67" s="45"/>
      <c r="H67" s="68"/>
      <c r="I67" s="68"/>
      <c r="J67" s="68"/>
      <c r="K67" s="68"/>
      <c r="L67" s="68"/>
      <c r="M67" s="68"/>
    </row>
    <row r="68" spans="1:13" ht="15.75" x14ac:dyDescent="0.25">
      <c r="A68" s="78"/>
      <c r="B68" s="36" t="s">
        <v>113</v>
      </c>
      <c r="C68" s="375">
        <v>2059</v>
      </c>
      <c r="D68" s="375">
        <v>2333</v>
      </c>
      <c r="E68" s="375">
        <v>2907</v>
      </c>
      <c r="F68" s="375">
        <v>3229</v>
      </c>
      <c r="G68" s="375">
        <v>3947</v>
      </c>
      <c r="H68" s="366"/>
      <c r="I68" s="376">
        <f>I65+I62+I58+I56</f>
        <v>4076.1433715164467</v>
      </c>
      <c r="J68" s="376">
        <f t="shared" ref="J68:M68" si="23">J65+J62+J58+J56</f>
        <v>4205.5275083116976</v>
      </c>
      <c r="K68" s="376">
        <f t="shared" si="23"/>
        <v>4326.6621331358001</v>
      </c>
      <c r="L68" s="376">
        <f t="shared" si="23"/>
        <v>4438.0430139523105</v>
      </c>
      <c r="M68" s="376">
        <f t="shared" si="23"/>
        <v>4538.2699866146813</v>
      </c>
    </row>
    <row r="69" spans="1:13" ht="15.75" x14ac:dyDescent="0.25">
      <c r="A69" s="78"/>
      <c r="B69" s="29"/>
      <c r="C69" s="371"/>
      <c r="D69" s="371"/>
      <c r="E69" s="371"/>
      <c r="F69" s="371"/>
      <c r="G69" s="371"/>
      <c r="H69" s="366"/>
      <c r="I69" s="366"/>
      <c r="J69" s="366"/>
      <c r="K69" s="366"/>
      <c r="L69" s="366"/>
      <c r="M69" s="366"/>
    </row>
    <row r="70" spans="1:13" ht="15.75" x14ac:dyDescent="0.25">
      <c r="A70" s="78"/>
      <c r="B70" s="40" t="s">
        <v>217</v>
      </c>
      <c r="C70" s="372">
        <v>3052</v>
      </c>
      <c r="D70" s="372">
        <v>2925</v>
      </c>
      <c r="E70" s="372">
        <v>4644</v>
      </c>
      <c r="F70" s="372">
        <v>4593</v>
      </c>
      <c r="G70" s="372">
        <v>3928</v>
      </c>
      <c r="H70" s="366"/>
      <c r="I70" s="373">
        <f>$G$70</f>
        <v>3928</v>
      </c>
      <c r="J70" s="373">
        <f t="shared" ref="J70:M70" si="24">$G$70</f>
        <v>3928</v>
      </c>
      <c r="K70" s="373">
        <f t="shared" si="24"/>
        <v>3928</v>
      </c>
      <c r="L70" s="373">
        <f t="shared" si="24"/>
        <v>3928</v>
      </c>
      <c r="M70" s="373">
        <f t="shared" si="24"/>
        <v>3928</v>
      </c>
    </row>
    <row r="71" spans="1:13" ht="15.75" x14ac:dyDescent="0.25">
      <c r="A71" s="78"/>
      <c r="B71" s="29"/>
      <c r="C71" s="371"/>
      <c r="D71" s="371"/>
      <c r="E71" s="371"/>
      <c r="F71" s="371"/>
      <c r="G71" s="371"/>
      <c r="H71" s="366"/>
      <c r="I71" s="366"/>
      <c r="J71" s="366"/>
      <c r="K71" s="366"/>
      <c r="L71" s="366"/>
      <c r="M71" s="366"/>
    </row>
    <row r="72" spans="1:13" ht="15.75" x14ac:dyDescent="0.25">
      <c r="A72" s="78"/>
      <c r="B72" s="30" t="s">
        <v>218</v>
      </c>
      <c r="C72" s="365">
        <v>170</v>
      </c>
      <c r="D72" s="365">
        <v>184</v>
      </c>
      <c r="E72" s="365">
        <v>234</v>
      </c>
      <c r="F72" s="365">
        <v>239</v>
      </c>
      <c r="G72" s="365">
        <v>40</v>
      </c>
      <c r="H72" s="366"/>
      <c r="I72" s="367">
        <f>I73*'Income Statement'!I6</f>
        <v>90.441303253690577</v>
      </c>
      <c r="J72" s="367">
        <f>J73*'Income Statement'!J6</f>
        <v>125.75810393879344</v>
      </c>
      <c r="K72" s="367">
        <f>K73*'Income Statement'!K6</f>
        <v>163.26755429253856</v>
      </c>
      <c r="L72" s="367">
        <f>L73*'Income Statement'!L6</f>
        <v>202.64463718085383</v>
      </c>
      <c r="M72" s="367">
        <f>M73*'Income Statement'!M6</f>
        <v>243.5113056789927</v>
      </c>
    </row>
    <row r="73" spans="1:13" ht="15.75" x14ac:dyDescent="0.25">
      <c r="A73" s="78"/>
      <c r="B73" s="26" t="s">
        <v>114</v>
      </c>
      <c r="C73" s="35">
        <f>C72/'Income Statement'!C6</f>
        <v>1.6676476358642337E-2</v>
      </c>
      <c r="D73" s="35">
        <f>D72/'Income Statement'!D6</f>
        <v>1.6585541734270778E-2</v>
      </c>
      <c r="E73" s="35">
        <f>E72/'Income Statement'!E6</f>
        <v>1.9029031471090509E-2</v>
      </c>
      <c r="F73" s="35">
        <f>F72/'Income Statement'!F6</f>
        <v>1.7398267452864526E-2</v>
      </c>
      <c r="G73" s="35">
        <f>G72/'Income Statement'!G6</f>
        <v>2.7785495971103086E-3</v>
      </c>
      <c r="H73" s="71"/>
      <c r="I73" s="13">
        <v>6.0000000000000001E-3</v>
      </c>
      <c r="J73" s="13">
        <v>8.0000000000000002E-3</v>
      </c>
      <c r="K73" s="13">
        <v>0.01</v>
      </c>
      <c r="L73" s="13">
        <v>1.2E-2</v>
      </c>
      <c r="M73" s="13">
        <v>1.4E-2</v>
      </c>
    </row>
    <row r="74" spans="1:13" ht="15.75" x14ac:dyDescent="0.25">
      <c r="A74" s="78"/>
      <c r="B74" s="29"/>
      <c r="C74" s="34"/>
      <c r="D74" s="34"/>
      <c r="E74" s="34"/>
      <c r="F74" s="34"/>
      <c r="G74" s="34"/>
      <c r="H74" s="68"/>
      <c r="I74" s="68"/>
      <c r="J74" s="68"/>
      <c r="K74" s="68"/>
      <c r="L74" s="68"/>
      <c r="M74" s="68"/>
    </row>
    <row r="75" spans="1:13" ht="15.75" x14ac:dyDescent="0.25">
      <c r="A75" s="78"/>
      <c r="B75" s="30" t="s">
        <v>219</v>
      </c>
      <c r="C75" s="365">
        <v>178</v>
      </c>
      <c r="D75" s="365">
        <f>326+182</f>
        <v>508</v>
      </c>
      <c r="E75" s="365">
        <v>291</v>
      </c>
      <c r="F75" s="365">
        <v>267</v>
      </c>
      <c r="G75" s="365">
        <v>233</v>
      </c>
      <c r="H75" s="366"/>
      <c r="I75" s="367">
        <f>I76*'Income Statement'!I6</f>
        <v>292.9779424029432</v>
      </c>
      <c r="J75" s="367">
        <f>J76*'Income Statement'!J6</f>
        <v>305.53808829855365</v>
      </c>
      <c r="K75" s="367">
        <f>K76*'Income Statement'!K6</f>
        <v>317.33593212570281</v>
      </c>
      <c r="L75" s="367">
        <f>L76*'Income Statement'!L6</f>
        <v>328.22619038174258</v>
      </c>
      <c r="M75" s="367">
        <f>M76*'Income Statement'!M6</f>
        <v>338.07297609319488</v>
      </c>
    </row>
    <row r="76" spans="1:13" ht="15.75" x14ac:dyDescent="0.25">
      <c r="A76" s="78"/>
      <c r="B76" s="26" t="s">
        <v>114</v>
      </c>
      <c r="C76" s="35">
        <f>C75/'Income Statement'!C6</f>
        <v>1.7461251716696095E-2</v>
      </c>
      <c r="D76" s="35">
        <f>D75/'Income Statement'!D6</f>
        <v>4.5790517396791061E-2</v>
      </c>
      <c r="E76" s="35">
        <f>E75/'Income Statement'!E6</f>
        <v>2.3664308367894609E-2</v>
      </c>
      <c r="F76" s="35">
        <f>F75/'Income Statement'!F6</f>
        <v>1.9436558200480455E-2</v>
      </c>
      <c r="G76" s="35">
        <f>G75/'Income Statement'!G6</f>
        <v>1.6185051403167547E-2</v>
      </c>
      <c r="H76" s="71"/>
      <c r="I76" s="13">
        <f>MEDIAN($E$76:$G$76)</f>
        <v>1.9436558200480455E-2</v>
      </c>
      <c r="J76" s="13">
        <f t="shared" ref="J76:M76" si="25">MEDIAN($E$76:$G$76)</f>
        <v>1.9436558200480455E-2</v>
      </c>
      <c r="K76" s="13">
        <f t="shared" si="25"/>
        <v>1.9436558200480455E-2</v>
      </c>
      <c r="L76" s="13">
        <f t="shared" si="25"/>
        <v>1.9436558200480455E-2</v>
      </c>
      <c r="M76" s="13">
        <f t="shared" si="25"/>
        <v>1.9436558200480455E-2</v>
      </c>
    </row>
    <row r="77" spans="1:13" ht="15.75" x14ac:dyDescent="0.25">
      <c r="A77" s="78"/>
      <c r="B77" s="29"/>
      <c r="C77" s="34"/>
      <c r="D77" s="34"/>
      <c r="E77" s="34"/>
      <c r="F77" s="34"/>
      <c r="G77" s="34"/>
      <c r="H77" s="68"/>
      <c r="I77" s="68"/>
      <c r="J77" s="68"/>
      <c r="K77" s="68"/>
      <c r="L77" s="68"/>
      <c r="M77" s="68"/>
    </row>
    <row r="78" spans="1:13" ht="15.75" x14ac:dyDescent="0.25">
      <c r="A78" s="159" t="s">
        <v>181</v>
      </c>
      <c r="B78" s="46" t="s">
        <v>220</v>
      </c>
      <c r="C78" s="375">
        <f>C68+C70+C72+C75</f>
        <v>5459</v>
      </c>
      <c r="D78" s="375">
        <f>D68+D70+D72+D75</f>
        <v>5950</v>
      </c>
      <c r="E78" s="375">
        <v>8640</v>
      </c>
      <c r="F78" s="375">
        <v>8917</v>
      </c>
      <c r="G78" s="375">
        <v>8718</v>
      </c>
      <c r="H78" s="366"/>
      <c r="I78" s="376">
        <f>I68+I70+I72+I75</f>
        <v>8387.5626171730801</v>
      </c>
      <c r="J78" s="376">
        <f t="shared" ref="J78:M78" si="26">J68+J70+J72+J75</f>
        <v>8564.8237005490446</v>
      </c>
      <c r="K78" s="376">
        <f t="shared" si="26"/>
        <v>8735.2656195540421</v>
      </c>
      <c r="L78" s="376">
        <f t="shared" si="26"/>
        <v>8896.9138415149082</v>
      </c>
      <c r="M78" s="376">
        <f t="shared" si="26"/>
        <v>9047.8542683868691</v>
      </c>
    </row>
    <row r="79" spans="1:13" ht="15.75" x14ac:dyDescent="0.25">
      <c r="A79" s="78"/>
      <c r="B79" s="47"/>
      <c r="C79" s="24"/>
      <c r="D79" s="24"/>
      <c r="E79" s="24"/>
      <c r="F79" s="24"/>
      <c r="G79" s="24"/>
      <c r="H79" s="68"/>
      <c r="I79" s="68"/>
      <c r="J79" s="68"/>
      <c r="K79" s="68"/>
      <c r="L79" s="68"/>
      <c r="M79" s="68"/>
    </row>
    <row r="80" spans="1:13" ht="15.75" x14ac:dyDescent="0.25">
      <c r="A80" s="78"/>
      <c r="B80" s="47"/>
      <c r="C80" s="24"/>
      <c r="D80" s="24"/>
      <c r="E80" s="24"/>
      <c r="F80" s="24"/>
      <c r="G80" s="24"/>
      <c r="H80" s="68"/>
      <c r="I80" s="68"/>
      <c r="J80" s="68"/>
      <c r="K80" s="68"/>
      <c r="L80" s="68"/>
      <c r="M80" s="68"/>
    </row>
    <row r="81" spans="1:14" ht="15.75" x14ac:dyDescent="0.25">
      <c r="A81" s="78"/>
      <c r="B81" s="47" t="s">
        <v>221</v>
      </c>
      <c r="C81" s="24"/>
      <c r="D81" s="24"/>
      <c r="E81" s="24"/>
      <c r="F81" s="24"/>
      <c r="G81" s="24"/>
      <c r="H81" s="68"/>
      <c r="I81" s="68"/>
      <c r="J81" s="68"/>
      <c r="K81" s="68"/>
      <c r="L81" s="68"/>
      <c r="M81" s="68"/>
    </row>
    <row r="82" spans="1:14" ht="15.75" x14ac:dyDescent="0.25">
      <c r="A82" s="78"/>
      <c r="B82" s="30" t="s">
        <v>222</v>
      </c>
      <c r="C82" s="365">
        <v>2966</v>
      </c>
      <c r="D82" s="365">
        <v>2587</v>
      </c>
      <c r="E82" s="365">
        <v>2580</v>
      </c>
      <c r="F82" s="365">
        <v>2423</v>
      </c>
      <c r="G82" s="365">
        <v>2005</v>
      </c>
      <c r="H82" s="366"/>
      <c r="I82" s="367">
        <v>2005</v>
      </c>
      <c r="J82" s="367">
        <v>2005</v>
      </c>
      <c r="K82" s="367">
        <v>2005</v>
      </c>
      <c r="L82" s="367">
        <v>2005</v>
      </c>
      <c r="M82" s="367">
        <v>2005</v>
      </c>
    </row>
    <row r="83" spans="1:14" ht="15.75" x14ac:dyDescent="0.25">
      <c r="A83" s="78"/>
      <c r="B83" s="29" t="s">
        <v>223</v>
      </c>
      <c r="C83" s="368">
        <v>372</v>
      </c>
      <c r="D83" s="368">
        <v>896</v>
      </c>
      <c r="E83" s="368">
        <v>1328</v>
      </c>
      <c r="F83" s="368">
        <v>1880</v>
      </c>
      <c r="G83" s="368">
        <v>2367</v>
      </c>
      <c r="H83" s="366"/>
      <c r="I83" s="366">
        <f>G83+'Income Statement'!I36-199</f>
        <v>2988.8390521627521</v>
      </c>
      <c r="J83" s="366">
        <f>I83+'Income Statement'!J36-199</f>
        <v>3648.972636206403</v>
      </c>
      <c r="K83" s="366">
        <f>J83+'Income Statement'!K36-199</f>
        <v>4345.5047652806443</v>
      </c>
      <c r="L83" s="366">
        <f>K83+'Income Statement'!L36-199</f>
        <v>5076.1047437317575</v>
      </c>
      <c r="M83" s="366">
        <f>L83+'Income Statement'!M36-199</f>
        <v>5838.0279703129472</v>
      </c>
      <c r="N83" s="4"/>
    </row>
    <row r="84" spans="1:14" ht="15.75" x14ac:dyDescent="0.25">
      <c r="A84" s="78"/>
      <c r="B84" s="48" t="s">
        <v>224</v>
      </c>
      <c r="C84" s="369">
        <v>-30</v>
      </c>
      <c r="D84" s="369">
        <v>-70</v>
      </c>
      <c r="E84" s="369">
        <v>-46</v>
      </c>
      <c r="F84" s="369">
        <v>-12</v>
      </c>
      <c r="G84" s="369">
        <v>-73</v>
      </c>
      <c r="H84" s="366"/>
      <c r="I84" s="370">
        <f>-3159+44</f>
        <v>-3115</v>
      </c>
      <c r="J84" s="370">
        <f>-3283+68</f>
        <v>-3215</v>
      </c>
      <c r="K84" s="370">
        <f>-3418+88</f>
        <v>-3330</v>
      </c>
      <c r="L84" s="370">
        <f>-3571+104</f>
        <v>-3467</v>
      </c>
      <c r="M84" s="370">
        <f>-3743+110</f>
        <v>-3633</v>
      </c>
    </row>
    <row r="85" spans="1:14" ht="15.75" x14ac:dyDescent="0.25">
      <c r="A85" s="78"/>
      <c r="B85" s="29"/>
      <c r="C85" s="371"/>
      <c r="D85" s="371"/>
      <c r="E85" s="371"/>
      <c r="F85" s="371"/>
      <c r="G85" s="371"/>
      <c r="H85" s="366"/>
      <c r="I85" s="366"/>
      <c r="J85" s="366"/>
      <c r="K85" s="366"/>
      <c r="L85" s="366"/>
      <c r="M85" s="366"/>
    </row>
    <row r="86" spans="1:14" ht="15.75" x14ac:dyDescent="0.25">
      <c r="A86" s="78"/>
      <c r="B86" s="40" t="s">
        <v>225</v>
      </c>
      <c r="C86" s="372">
        <v>3308</v>
      </c>
      <c r="D86" s="372">
        <v>3413</v>
      </c>
      <c r="E86" s="372">
        <v>3862</v>
      </c>
      <c r="F86" s="372">
        <v>4291</v>
      </c>
      <c r="G86" s="372">
        <v>4299</v>
      </c>
      <c r="H86" s="366"/>
      <c r="I86" s="373">
        <f>$G$86-23</f>
        <v>4276</v>
      </c>
      <c r="J86" s="373">
        <f>$G$86-19</f>
        <v>4280</v>
      </c>
      <c r="K86" s="373">
        <f>$G$86-19</f>
        <v>4280</v>
      </c>
      <c r="L86" s="373">
        <f>$G$86-17</f>
        <v>4282</v>
      </c>
      <c r="M86" s="373">
        <f>$G$86-11</f>
        <v>4288</v>
      </c>
    </row>
    <row r="87" spans="1:14" ht="15.75" x14ac:dyDescent="0.25">
      <c r="A87" s="78"/>
      <c r="B87" s="29"/>
      <c r="C87" s="371"/>
      <c r="D87" s="371"/>
      <c r="E87" s="371"/>
      <c r="F87" s="371"/>
      <c r="G87" s="371"/>
      <c r="H87" s="366"/>
      <c r="I87" s="366"/>
      <c r="J87" s="366"/>
      <c r="K87" s="366"/>
      <c r="L87" s="366"/>
      <c r="M87" s="366"/>
    </row>
    <row r="88" spans="1:14" ht="15.75" x14ac:dyDescent="0.25">
      <c r="A88" s="78"/>
      <c r="B88" s="40" t="s">
        <v>226</v>
      </c>
      <c r="C88" s="372">
        <v>3</v>
      </c>
      <c r="D88" s="372">
        <v>4</v>
      </c>
      <c r="E88" s="372">
        <v>9</v>
      </c>
      <c r="F88" s="372">
        <v>53</v>
      </c>
      <c r="G88" s="372">
        <v>54</v>
      </c>
      <c r="H88" s="366"/>
      <c r="I88" s="374">
        <v>54</v>
      </c>
      <c r="J88" s="374">
        <v>54</v>
      </c>
      <c r="K88" s="374">
        <v>54</v>
      </c>
      <c r="L88" s="374">
        <v>54</v>
      </c>
      <c r="M88" s="374">
        <v>54</v>
      </c>
    </row>
    <row r="89" spans="1:14" ht="15.75" x14ac:dyDescent="0.25">
      <c r="A89" s="78"/>
      <c r="B89" s="29"/>
      <c r="C89" s="371"/>
      <c r="D89" s="371"/>
      <c r="E89" s="371"/>
      <c r="F89" s="371"/>
      <c r="G89" s="371"/>
      <c r="H89" s="366"/>
      <c r="I89" s="366"/>
      <c r="J89" s="366"/>
      <c r="K89" s="366"/>
      <c r="L89" s="366"/>
      <c r="M89" s="366"/>
    </row>
    <row r="90" spans="1:14" ht="15.75" x14ac:dyDescent="0.25">
      <c r="A90" s="78"/>
      <c r="B90" s="36" t="s">
        <v>227</v>
      </c>
      <c r="C90" s="375">
        <f>C88+C84+C83+C82</f>
        <v>3311</v>
      </c>
      <c r="D90" s="375">
        <f t="shared" ref="D90:G90" si="27">D88+D84+D83+D82</f>
        <v>3417</v>
      </c>
      <c r="E90" s="375">
        <f t="shared" si="27"/>
        <v>3871</v>
      </c>
      <c r="F90" s="375">
        <f t="shared" si="27"/>
        <v>4344</v>
      </c>
      <c r="G90" s="375">
        <f t="shared" si="27"/>
        <v>4353</v>
      </c>
      <c r="H90" s="366"/>
      <c r="I90" s="376">
        <f>I82+I83+I84+I86+I88</f>
        <v>6208.8390521627516</v>
      </c>
      <c r="J90" s="376">
        <f t="shared" ref="J90:M90" si="28">J82+J83+J84+J86+J88</f>
        <v>6772.972636206403</v>
      </c>
      <c r="K90" s="376">
        <f t="shared" si="28"/>
        <v>7354.5047652806443</v>
      </c>
      <c r="L90" s="376">
        <f t="shared" si="28"/>
        <v>7950.1047437317575</v>
      </c>
      <c r="M90" s="376">
        <f t="shared" si="28"/>
        <v>8552.0279703129472</v>
      </c>
    </row>
    <row r="91" spans="1:14" ht="15.75" x14ac:dyDescent="0.25">
      <c r="A91" s="78"/>
      <c r="B91" s="29"/>
      <c r="C91" s="371"/>
      <c r="D91" s="371"/>
      <c r="E91" s="371"/>
      <c r="F91" s="371"/>
      <c r="G91" s="371"/>
      <c r="H91" s="366"/>
      <c r="I91" s="366"/>
      <c r="J91" s="366"/>
      <c r="K91" s="366"/>
      <c r="L91" s="366"/>
      <c r="M91" s="366"/>
    </row>
    <row r="92" spans="1:14" ht="15.75" x14ac:dyDescent="0.25">
      <c r="A92" s="36" t="s">
        <v>228</v>
      </c>
      <c r="B92" s="36"/>
      <c r="C92" s="375">
        <f>C90+C78</f>
        <v>8770</v>
      </c>
      <c r="D92" s="375">
        <f>D90+D78</f>
        <v>9367</v>
      </c>
      <c r="E92" s="375">
        <f>E90+E78</f>
        <v>12511</v>
      </c>
      <c r="F92" s="375">
        <f>F90+F78</f>
        <v>13261</v>
      </c>
      <c r="G92" s="375">
        <f>G90+G78</f>
        <v>13071</v>
      </c>
      <c r="H92" s="366"/>
      <c r="I92" s="376">
        <f>I78+I90</f>
        <v>14596.401669335832</v>
      </c>
      <c r="J92" s="376">
        <f t="shared" ref="J92:M92" si="29">J78+J90</f>
        <v>15337.796336755448</v>
      </c>
      <c r="K92" s="376">
        <f t="shared" si="29"/>
        <v>16089.770384834686</v>
      </c>
      <c r="L92" s="376">
        <f t="shared" si="29"/>
        <v>16847.018585246667</v>
      </c>
      <c r="M92" s="376">
        <f t="shared" si="29"/>
        <v>17599.882238699814</v>
      </c>
    </row>
    <row r="93" spans="1:14" ht="15.75" x14ac:dyDescent="0.25">
      <c r="A93" s="51"/>
      <c r="B93" s="474" t="s">
        <v>229</v>
      </c>
      <c r="C93" s="475">
        <f>C51-C92</f>
        <v>0</v>
      </c>
      <c r="D93" s="475">
        <f t="shared" ref="D93:M93" si="30">D51-D92</f>
        <v>0</v>
      </c>
      <c r="E93" s="475">
        <f t="shared" si="30"/>
        <v>0</v>
      </c>
      <c r="F93" s="475">
        <f t="shared" si="30"/>
        <v>0</v>
      </c>
      <c r="G93" s="475">
        <f t="shared" si="30"/>
        <v>0</v>
      </c>
      <c r="H93" s="475"/>
      <c r="I93" s="475">
        <f t="shared" si="30"/>
        <v>0</v>
      </c>
      <c r="J93" s="475">
        <f t="shared" si="30"/>
        <v>0</v>
      </c>
      <c r="K93" s="475">
        <f t="shared" si="30"/>
        <v>0</v>
      </c>
      <c r="L93" s="475">
        <f t="shared" si="30"/>
        <v>0</v>
      </c>
      <c r="M93" s="475">
        <f t="shared" si="30"/>
        <v>0</v>
      </c>
    </row>
    <row r="96" spans="1:14" x14ac:dyDescent="0.25">
      <c r="I96" s="398"/>
    </row>
    <row r="97" spans="9:9" x14ac:dyDescent="0.25">
      <c r="I97" s="398"/>
    </row>
  </sheetData>
  <mergeCells count="3">
    <mergeCell ref="A5:B5"/>
    <mergeCell ref="A54:B54"/>
    <mergeCell ref="A53:B53"/>
  </mergeCells>
  <pageMargins left="0.7" right="0.7" top="0.75" bottom="0.75" header="0.3" footer="0.3"/>
  <pageSetup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DFFB-32C1-4645-A871-489CF5B3DE6C}">
  <sheetPr>
    <pageSetUpPr fitToPage="1"/>
  </sheetPr>
  <dimension ref="A1:P75"/>
  <sheetViews>
    <sheetView showGridLines="0" zoomScale="80" zoomScaleNormal="80" workbookViewId="0"/>
  </sheetViews>
  <sheetFormatPr defaultColWidth="8.85546875" defaultRowHeight="15" x14ac:dyDescent="0.25"/>
  <cols>
    <col min="1" max="1" width="2.85546875" customWidth="1"/>
    <col min="2" max="2" width="71.28515625" customWidth="1"/>
    <col min="3" max="7" width="11.85546875" customWidth="1"/>
    <col min="8" max="8" width="2.85546875" customWidth="1"/>
    <col min="9" max="13" width="11.85546875" customWidth="1"/>
  </cols>
  <sheetData>
    <row r="1" spans="1:13" s="232" customFormat="1" x14ac:dyDescent="0.25"/>
    <row r="2" spans="1:13" s="232" customFormat="1" ht="34.5" x14ac:dyDescent="0.45">
      <c r="B2" s="423" t="s">
        <v>230</v>
      </c>
      <c r="C2" s="309"/>
      <c r="D2" s="309"/>
      <c r="E2" s="309"/>
      <c r="F2" s="309"/>
      <c r="G2" s="309"/>
      <c r="H2" s="309"/>
      <c r="I2" s="309"/>
    </row>
    <row r="4" spans="1:13" ht="15.75" x14ac:dyDescent="0.25">
      <c r="A4" s="3"/>
      <c r="B4" s="1" t="s">
        <v>179</v>
      </c>
      <c r="C4" s="2" t="s">
        <v>94</v>
      </c>
      <c r="D4" s="2" t="s">
        <v>95</v>
      </c>
      <c r="E4" s="2" t="s">
        <v>96</v>
      </c>
      <c r="F4" s="2" t="s">
        <v>97</v>
      </c>
      <c r="G4" s="2" t="s">
        <v>98</v>
      </c>
      <c r="H4" s="3"/>
      <c r="I4" s="2" t="s">
        <v>99</v>
      </c>
      <c r="J4" s="2" t="s">
        <v>100</v>
      </c>
      <c r="K4" s="2" t="s">
        <v>101</v>
      </c>
      <c r="L4" s="2" t="s">
        <v>102</v>
      </c>
      <c r="M4" s="2" t="s">
        <v>103</v>
      </c>
    </row>
    <row r="5" spans="1:13" ht="15.75" x14ac:dyDescent="0.25">
      <c r="A5" s="157" t="s">
        <v>181</v>
      </c>
      <c r="B5" s="61" t="s">
        <v>231</v>
      </c>
      <c r="C5" s="3"/>
      <c r="D5" s="3"/>
      <c r="E5" s="3"/>
      <c r="F5" s="3"/>
      <c r="G5" s="3"/>
      <c r="H5" s="3"/>
      <c r="I5" s="3"/>
      <c r="J5" s="3"/>
      <c r="K5" s="3"/>
      <c r="L5" s="3"/>
      <c r="M5" s="3"/>
    </row>
    <row r="6" spans="1:13" ht="15.75" x14ac:dyDescent="0.25">
      <c r="A6" s="51"/>
      <c r="B6" s="62" t="s">
        <v>193</v>
      </c>
      <c r="C6" s="349">
        <f>'Income Statement'!C36</f>
        <v>582</v>
      </c>
      <c r="D6" s="349">
        <f>'Income Statement'!D36</f>
        <v>670</v>
      </c>
      <c r="E6" s="349">
        <f>'Income Statement'!E36</f>
        <v>629</v>
      </c>
      <c r="F6" s="349">
        <f>'Income Statement'!F36</f>
        <v>759</v>
      </c>
      <c r="G6" s="349">
        <f>'Income Statement'!G36</f>
        <v>693</v>
      </c>
      <c r="H6" s="384"/>
      <c r="I6" s="349">
        <f>'Income Statement'!I36</f>
        <v>820.83905216275207</v>
      </c>
      <c r="J6" s="349">
        <f>'Income Statement'!J36</f>
        <v>859.13358404365113</v>
      </c>
      <c r="K6" s="349">
        <f>'Income Statement'!K36</f>
        <v>895.53212907424165</v>
      </c>
      <c r="L6" s="349">
        <f>'Income Statement'!L36</f>
        <v>929.59997845111286</v>
      </c>
      <c r="M6" s="349">
        <f>'Income Statement'!M36</f>
        <v>960.92322658118997</v>
      </c>
    </row>
    <row r="7" spans="1:13" ht="15.75" x14ac:dyDescent="0.25">
      <c r="A7" s="51"/>
      <c r="B7" s="51"/>
      <c r="C7" s="366"/>
      <c r="D7" s="366"/>
      <c r="E7" s="366"/>
      <c r="F7" s="366"/>
      <c r="G7" s="366"/>
      <c r="H7" s="366"/>
      <c r="I7" s="366"/>
      <c r="J7" s="366"/>
      <c r="K7" s="366"/>
      <c r="L7" s="366"/>
      <c r="M7" s="366"/>
    </row>
    <row r="8" spans="1:13" ht="15.75" x14ac:dyDescent="0.25">
      <c r="A8" s="51"/>
      <c r="B8" s="61" t="s">
        <v>232</v>
      </c>
      <c r="C8" s="366"/>
      <c r="D8" s="366"/>
      <c r="E8" s="366"/>
      <c r="F8" s="366"/>
      <c r="G8" s="366"/>
      <c r="H8" s="366"/>
      <c r="I8" s="366"/>
      <c r="J8" s="366"/>
      <c r="K8" s="366"/>
      <c r="L8" s="366"/>
      <c r="M8" s="366"/>
    </row>
    <row r="9" spans="1:13" ht="15.75" x14ac:dyDescent="0.25">
      <c r="A9" s="51"/>
      <c r="B9" s="63" t="s">
        <v>233</v>
      </c>
      <c r="C9" s="373">
        <f>'Balance Sheet'!C31+'Balance Sheet'!C42</f>
        <v>257</v>
      </c>
      <c r="D9" s="373">
        <f>'Balance Sheet'!D31+'Balance Sheet'!D42</f>
        <v>234</v>
      </c>
      <c r="E9" s="373">
        <f>'Balance Sheet'!E31+'Balance Sheet'!E42</f>
        <v>282</v>
      </c>
      <c r="F9" s="373">
        <f>'Balance Sheet'!F31+'Balance Sheet'!F42</f>
        <v>325</v>
      </c>
      <c r="G9" s="373">
        <f>'Balance Sheet'!G31+'Balance Sheet'!G42</f>
        <v>333</v>
      </c>
      <c r="H9" s="366"/>
      <c r="I9" s="373">
        <f>'Balance Sheet'!I31+'Balance Sheet'!I42</f>
        <v>349.1442751537341</v>
      </c>
      <c r="J9" s="373">
        <f>'Balance Sheet'!J31+'Balance Sheet'!J42</f>
        <v>367.86584766679994</v>
      </c>
      <c r="K9" s="373">
        <f>'Balance Sheet'!K31+'Balance Sheet'!K42</f>
        <v>385.33572508284732</v>
      </c>
      <c r="L9" s="373">
        <f>'Balance Sheet'!L31+'Balance Sheet'!L42</f>
        <v>401.93699451145841</v>
      </c>
      <c r="M9" s="373">
        <f>'Balance Sheet'!M31+'Balance Sheet'!M42</f>
        <v>417.47383728507356</v>
      </c>
    </row>
    <row r="10" spans="1:13" ht="15.75" x14ac:dyDescent="0.25">
      <c r="A10" s="51"/>
      <c r="B10" s="51"/>
      <c r="C10" s="366"/>
      <c r="D10" s="366"/>
      <c r="E10" s="366"/>
      <c r="F10" s="366"/>
      <c r="G10" s="366"/>
      <c r="H10" s="366"/>
      <c r="I10" s="366"/>
      <c r="J10" s="366"/>
      <c r="K10" s="366"/>
      <c r="L10" s="366"/>
      <c r="M10" s="366"/>
    </row>
    <row r="11" spans="1:13" ht="15.75" x14ac:dyDescent="0.25">
      <c r="A11" s="51"/>
      <c r="B11" s="52" t="s">
        <v>234</v>
      </c>
      <c r="C11" s="386">
        <v>44</v>
      </c>
      <c r="D11" s="386">
        <v>52</v>
      </c>
      <c r="E11" s="386">
        <v>62</v>
      </c>
      <c r="F11" s="386">
        <v>67</v>
      </c>
      <c r="G11" s="386">
        <v>73</v>
      </c>
      <c r="H11" s="366"/>
      <c r="I11" s="367">
        <f>I12*'Income Statement'!I6</f>
        <v>75.99903501841662</v>
      </c>
      <c r="J11" s="367">
        <f>J12*'Income Statement'!J6</f>
        <v>79.257160732345213</v>
      </c>
      <c r="K11" s="367">
        <f>K12*'Income Statement'!K6</f>
        <v>82.317543841078219</v>
      </c>
      <c r="L11" s="367">
        <f>L12*'Income Statement'!L6</f>
        <v>85.14249752793998</v>
      </c>
      <c r="M11" s="367">
        <f>M12*'Income Statement'!M6</f>
        <v>87.696772453778195</v>
      </c>
    </row>
    <row r="12" spans="1:13" ht="15.75" x14ac:dyDescent="0.25">
      <c r="A12" s="51"/>
      <c r="B12" s="26" t="s">
        <v>114</v>
      </c>
      <c r="C12" s="10">
        <f>C11/'Income Statement'!C6</f>
        <v>4.3162644692956642E-3</v>
      </c>
      <c r="D12" s="10">
        <f>D11/'Income Statement'!D6</f>
        <v>4.687218316206959E-3</v>
      </c>
      <c r="E12" s="10">
        <f>E11/'Income Statement'!E6</f>
        <v>5.0418801333658612E-3</v>
      </c>
      <c r="F12" s="10">
        <f>F11/'Income Statement'!F6</f>
        <v>4.8773385746523987E-3</v>
      </c>
      <c r="G12" s="10">
        <f>G11/'Income Statement'!G6</f>
        <v>5.0708530147263132E-3</v>
      </c>
      <c r="H12" s="12"/>
      <c r="I12" s="59">
        <f>MEDIAN($E$12:$G$12)</f>
        <v>5.0418801333658612E-3</v>
      </c>
      <c r="J12" s="59">
        <f t="shared" ref="J12:M12" si="0">MEDIAN($E$12:$G$12)</f>
        <v>5.0418801333658612E-3</v>
      </c>
      <c r="K12" s="59">
        <f t="shared" si="0"/>
        <v>5.0418801333658612E-3</v>
      </c>
      <c r="L12" s="59">
        <f t="shared" si="0"/>
        <v>5.0418801333658612E-3</v>
      </c>
      <c r="M12" s="59">
        <f t="shared" si="0"/>
        <v>5.0418801333658612E-3</v>
      </c>
    </row>
    <row r="13" spans="1:13" ht="15.75" x14ac:dyDescent="0.25">
      <c r="A13" s="51"/>
      <c r="B13" s="51"/>
      <c r="C13" s="387"/>
      <c r="D13" s="387"/>
      <c r="E13" s="387"/>
      <c r="F13" s="387"/>
      <c r="G13" s="387"/>
      <c r="H13" s="387"/>
      <c r="I13" s="387"/>
      <c r="J13" s="387"/>
      <c r="K13" s="387"/>
      <c r="L13" s="387"/>
      <c r="M13" s="387"/>
    </row>
    <row r="14" spans="1:13" ht="15.75" x14ac:dyDescent="0.25">
      <c r="A14" s="51"/>
      <c r="B14" s="52" t="s">
        <v>235</v>
      </c>
      <c r="C14" s="386">
        <v>7</v>
      </c>
      <c r="D14" s="386">
        <v>0</v>
      </c>
      <c r="E14" s="386">
        <v>12</v>
      </c>
      <c r="F14" s="386">
        <v>4</v>
      </c>
      <c r="G14" s="386">
        <v>40</v>
      </c>
      <c r="H14" s="366"/>
      <c r="I14" s="367">
        <f>I15*'Income Statement'!I6</f>
        <v>17.744026535940861</v>
      </c>
      <c r="J14" s="367">
        <f>J15*'Income Statement'!J6</f>
        <v>18.504723946261542</v>
      </c>
      <c r="K14" s="367">
        <f>K15*'Income Statement'!K6</f>
        <v>19.219253006773226</v>
      </c>
      <c r="L14" s="367">
        <f>L15*'Income Statement'!L6</f>
        <v>19.878814712659782</v>
      </c>
      <c r="M14" s="367">
        <f>M15*'Income Statement'!M6</f>
        <v>20.475179154039576</v>
      </c>
    </row>
    <row r="15" spans="1:13" ht="15.75" x14ac:dyDescent="0.25">
      <c r="A15" s="51"/>
      <c r="B15" s="26" t="s">
        <v>114</v>
      </c>
      <c r="C15" s="10">
        <f>C14/'Income Statement'!$C$6</f>
        <v>6.8667843829703747E-4</v>
      </c>
      <c r="D15" s="10">
        <f>D14/'Income Statement'!$C$6</f>
        <v>0</v>
      </c>
      <c r="E15" s="10">
        <f>E14/'Income Statement'!$C$6</f>
        <v>1.1771630370806356E-3</v>
      </c>
      <c r="F15" s="10">
        <f>F14/'Income Statement'!$C$6</f>
        <v>3.9238767902687857E-4</v>
      </c>
      <c r="G15" s="10">
        <f>G14/'Income Statement'!$C$6</f>
        <v>3.9238767902687859E-3</v>
      </c>
      <c r="H15" s="12"/>
      <c r="I15" s="59">
        <f>MEDIAN($E$15:$G$15)</f>
        <v>1.1771630370806356E-3</v>
      </c>
      <c r="J15" s="59">
        <f t="shared" ref="J15:M15" si="1">MEDIAN($E$15:$G$15)</f>
        <v>1.1771630370806356E-3</v>
      </c>
      <c r="K15" s="59">
        <f t="shared" si="1"/>
        <v>1.1771630370806356E-3</v>
      </c>
      <c r="L15" s="59">
        <f t="shared" si="1"/>
        <v>1.1771630370806356E-3</v>
      </c>
      <c r="M15" s="59">
        <f t="shared" si="1"/>
        <v>1.1771630370806356E-3</v>
      </c>
    </row>
    <row r="16" spans="1:13" ht="15.75" x14ac:dyDescent="0.25">
      <c r="A16" s="51"/>
      <c r="B16" s="51"/>
      <c r="C16" s="387"/>
      <c r="D16" s="387"/>
      <c r="E16" s="387"/>
      <c r="F16" s="387"/>
      <c r="G16" s="387"/>
      <c r="H16" s="387"/>
      <c r="I16" s="387"/>
      <c r="J16" s="387"/>
      <c r="K16" s="387"/>
      <c r="L16" s="387"/>
      <c r="M16" s="387"/>
    </row>
    <row r="17" spans="1:13" ht="15.75" x14ac:dyDescent="0.25">
      <c r="A17" s="51"/>
      <c r="B17" s="63" t="s">
        <v>218</v>
      </c>
      <c r="C17" s="388">
        <v>-49</v>
      </c>
      <c r="D17" s="388">
        <v>18</v>
      </c>
      <c r="E17" s="388">
        <v>-4</v>
      </c>
      <c r="F17" s="388">
        <v>-26</v>
      </c>
      <c r="G17" s="388">
        <v>-211</v>
      </c>
      <c r="H17" s="366"/>
      <c r="I17" s="373">
        <f>'Balance Sheet'!I72-'Balance Sheet'!G72</f>
        <v>50.441303253690577</v>
      </c>
      <c r="J17" s="373">
        <f>'Balance Sheet'!J72-'Balance Sheet'!I72</f>
        <v>35.316800685102862</v>
      </c>
      <c r="K17" s="373">
        <f>'Balance Sheet'!K72-'Balance Sheet'!J72</f>
        <v>37.509450353745123</v>
      </c>
      <c r="L17" s="373">
        <f>'Balance Sheet'!L72-'Balance Sheet'!K72</f>
        <v>39.377082888315272</v>
      </c>
      <c r="M17" s="373">
        <f>'Balance Sheet'!M72-'Balance Sheet'!L72</f>
        <v>40.866668498138864</v>
      </c>
    </row>
    <row r="18" spans="1:13" ht="15.75" x14ac:dyDescent="0.25">
      <c r="A18" s="51"/>
      <c r="B18" s="51"/>
      <c r="C18" s="366"/>
      <c r="D18" s="366"/>
      <c r="E18" s="366"/>
      <c r="F18" s="366"/>
      <c r="G18" s="366"/>
      <c r="H18" s="366"/>
      <c r="I18" s="366"/>
      <c r="J18" s="366"/>
      <c r="K18" s="366"/>
      <c r="L18" s="366"/>
      <c r="M18" s="366"/>
    </row>
    <row r="19" spans="1:13" ht="15.75" x14ac:dyDescent="0.25">
      <c r="A19" s="51"/>
      <c r="B19" s="63" t="s">
        <v>236</v>
      </c>
      <c r="C19" s="373">
        <f>SUM(C20:C23)+2</f>
        <v>10</v>
      </c>
      <c r="D19" s="373">
        <f>SUM(D20:D23)+2</f>
        <v>-6</v>
      </c>
      <c r="E19" s="373">
        <f>SUM(E20:E23)+14</f>
        <v>-74</v>
      </c>
      <c r="F19" s="373">
        <f>SUM(F20:F23)-7</f>
        <v>29</v>
      </c>
      <c r="G19" s="373">
        <f>SUM(G20:G23)+26</f>
        <v>26</v>
      </c>
      <c r="H19" s="366"/>
      <c r="I19" s="373">
        <f>SUM(I20:I23)+26</f>
        <v>26</v>
      </c>
      <c r="J19" s="373">
        <f t="shared" ref="J19:M19" si="2">SUM(J20:J23)+26</f>
        <v>26</v>
      </c>
      <c r="K19" s="373">
        <f t="shared" si="2"/>
        <v>26</v>
      </c>
      <c r="L19" s="373">
        <f t="shared" si="2"/>
        <v>26</v>
      </c>
      <c r="M19" s="373">
        <f t="shared" si="2"/>
        <v>26</v>
      </c>
    </row>
    <row r="20" spans="1:13" ht="15.75" hidden="1" x14ac:dyDescent="0.25">
      <c r="A20" s="51"/>
      <c r="B20" s="51" t="s">
        <v>237</v>
      </c>
      <c r="C20" s="366"/>
      <c r="D20" s="366"/>
      <c r="E20" s="366">
        <v>-88</v>
      </c>
      <c r="F20" s="366"/>
      <c r="G20" s="366"/>
      <c r="H20" s="366"/>
      <c r="I20" s="366"/>
      <c r="J20" s="366"/>
      <c r="K20" s="366"/>
      <c r="L20" s="366"/>
      <c r="M20" s="366"/>
    </row>
    <row r="21" spans="1:13" ht="15.75" hidden="1" x14ac:dyDescent="0.25">
      <c r="A21" s="51"/>
      <c r="B21" s="51" t="s">
        <v>238</v>
      </c>
      <c r="C21" s="366"/>
      <c r="D21" s="366"/>
      <c r="E21" s="366"/>
      <c r="F21" s="366">
        <v>36</v>
      </c>
      <c r="G21" s="366"/>
      <c r="H21" s="366"/>
      <c r="I21" s="366"/>
      <c r="J21" s="366"/>
      <c r="K21" s="366"/>
      <c r="L21" s="366"/>
      <c r="M21" s="366"/>
    </row>
    <row r="22" spans="1:13" ht="15.75" hidden="1" x14ac:dyDescent="0.25">
      <c r="A22" s="51"/>
      <c r="B22" s="51" t="s">
        <v>239</v>
      </c>
      <c r="C22" s="366">
        <v>6</v>
      </c>
      <c r="D22" s="366">
        <v>-10</v>
      </c>
      <c r="E22" s="366"/>
      <c r="F22" s="366"/>
      <c r="G22" s="366"/>
      <c r="H22" s="366"/>
      <c r="I22" s="366"/>
      <c r="J22" s="366"/>
      <c r="K22" s="366"/>
      <c r="L22" s="366"/>
      <c r="M22" s="366"/>
    </row>
    <row r="23" spans="1:13" ht="15.75" hidden="1" x14ac:dyDescent="0.25">
      <c r="A23" s="51"/>
      <c r="B23" s="51" t="s">
        <v>240</v>
      </c>
      <c r="C23" s="366">
        <v>2</v>
      </c>
      <c r="D23" s="366">
        <v>2</v>
      </c>
      <c r="E23" s="366"/>
      <c r="F23" s="366"/>
      <c r="G23" s="366"/>
      <c r="H23" s="366"/>
      <c r="I23" s="366"/>
      <c r="J23" s="366"/>
      <c r="K23" s="366"/>
      <c r="L23" s="366"/>
      <c r="M23" s="366"/>
    </row>
    <row r="24" spans="1:13" ht="15.75" hidden="1" x14ac:dyDescent="0.25">
      <c r="A24" s="51"/>
      <c r="B24" s="51"/>
      <c r="C24" s="366"/>
      <c r="D24" s="366"/>
      <c r="E24" s="366"/>
      <c r="F24" s="366"/>
      <c r="G24" s="366"/>
      <c r="H24" s="366"/>
      <c r="I24" s="366"/>
      <c r="J24" s="366"/>
      <c r="K24" s="366"/>
      <c r="L24" s="366"/>
      <c r="M24" s="366"/>
    </row>
    <row r="25" spans="1:13" ht="15.75" x14ac:dyDescent="0.25">
      <c r="A25" s="51"/>
      <c r="B25" s="51"/>
      <c r="C25" s="366"/>
      <c r="D25" s="366"/>
      <c r="E25" s="366"/>
      <c r="F25" s="366"/>
      <c r="G25" s="366"/>
      <c r="H25" s="366"/>
      <c r="I25" s="366"/>
      <c r="J25" s="366"/>
      <c r="K25" s="366"/>
      <c r="L25" s="366"/>
      <c r="M25" s="366"/>
    </row>
    <row r="26" spans="1:13" ht="15.75" x14ac:dyDescent="0.25">
      <c r="A26" s="51"/>
      <c r="B26" s="61" t="s">
        <v>241</v>
      </c>
      <c r="C26" s="366"/>
      <c r="D26" s="366"/>
      <c r="E26" s="366"/>
      <c r="F26" s="366"/>
      <c r="G26" s="366"/>
      <c r="H26" s="366"/>
      <c r="I26" s="366"/>
      <c r="J26" s="366"/>
      <c r="K26" s="366"/>
      <c r="L26" s="366"/>
      <c r="M26" s="366"/>
    </row>
    <row r="27" spans="1:13" ht="15.75" x14ac:dyDescent="0.25">
      <c r="A27" s="51"/>
      <c r="B27" s="63" t="s">
        <v>242</v>
      </c>
      <c r="C27" s="388">
        <v>-58</v>
      </c>
      <c r="D27" s="388">
        <v>116</v>
      </c>
      <c r="E27" s="388">
        <v>-127</v>
      </c>
      <c r="F27" s="388">
        <v>-5</v>
      </c>
      <c r="G27" s="388">
        <v>-174</v>
      </c>
      <c r="H27" s="366"/>
      <c r="I27" s="373">
        <f>'Balance Sheet'!G10-'Balance Sheet'!I10</f>
        <v>-110.60320744388355</v>
      </c>
      <c r="J27" s="373">
        <f>'Balance Sheet'!I10-'Balance Sheet'!J10</f>
        <v>-105.48758388847091</v>
      </c>
      <c r="K27" s="373">
        <f>'Balance Sheet'!J10-'Balance Sheet'!K10</f>
        <v>-99.085317221866262</v>
      </c>
      <c r="L27" s="373">
        <f>'Balance Sheet'!K10-'Balance Sheet'!L10</f>
        <v>-91.462873194219355</v>
      </c>
      <c r="M27" s="373">
        <f>'Balance Sheet'!L10-'Balance Sheet'!M10</f>
        <v>-82.699169452453589</v>
      </c>
    </row>
    <row r="28" spans="1:13" ht="15.75" x14ac:dyDescent="0.25">
      <c r="A28" s="51"/>
      <c r="B28" s="51"/>
      <c r="C28" s="366"/>
      <c r="D28" s="366"/>
      <c r="E28" s="366"/>
      <c r="F28" s="366"/>
      <c r="G28" s="366"/>
      <c r="H28" s="366"/>
      <c r="I28" s="366"/>
      <c r="J28" s="366"/>
      <c r="K28" s="366"/>
      <c r="L28" s="366"/>
      <c r="M28" s="366"/>
    </row>
    <row r="29" spans="1:13" ht="15.75" x14ac:dyDescent="0.25">
      <c r="A29" s="51"/>
      <c r="B29" s="63" t="s">
        <v>211</v>
      </c>
      <c r="C29" s="388">
        <v>-17</v>
      </c>
      <c r="D29" s="388">
        <v>-93</v>
      </c>
      <c r="E29" s="388">
        <v>104</v>
      </c>
      <c r="F29" s="388">
        <v>143</v>
      </c>
      <c r="G29" s="388">
        <v>160</v>
      </c>
      <c r="H29" s="366"/>
      <c r="I29" s="373">
        <f>('Balance Sheet'!G14-'Balance Sheet'!I14)+('Balance Sheet'!I18-'Balance Sheet'!G18)</f>
        <v>-61.605439293909399</v>
      </c>
      <c r="J29" s="373">
        <f>('Balance Sheet'!I14-'Balance Sheet'!J14)+('Balance Sheet'!I18-'Balance Sheet'!J18)</f>
        <v>-36.188861037795505</v>
      </c>
      <c r="K29" s="373">
        <f>('Balance Sheet'!J14-'Balance Sheet'!K14)+('Balance Sheet'!J18-'Balance Sheet'!K18)</f>
        <v>-33.992481803537487</v>
      </c>
      <c r="L29" s="373">
        <f>('Balance Sheet'!K14-'Balance Sheet'!L14)+('Balance Sheet'!K18-'Balance Sheet'!L18)</f>
        <v>-31.377505163475973</v>
      </c>
      <c r="M29" s="373">
        <f>('Balance Sheet'!L14-'Balance Sheet'!M14)+('Balance Sheet'!L18-'Balance Sheet'!M18)</f>
        <v>-28.371004822900488</v>
      </c>
    </row>
    <row r="30" spans="1:13" ht="15.75" x14ac:dyDescent="0.25">
      <c r="A30" s="51"/>
      <c r="B30" s="51"/>
      <c r="C30" s="366"/>
      <c r="D30" s="366"/>
      <c r="E30" s="366"/>
      <c r="F30" s="366"/>
      <c r="G30" s="366"/>
      <c r="H30" s="366"/>
      <c r="I30" s="366"/>
      <c r="J30" s="366"/>
      <c r="K30" s="366"/>
      <c r="L30" s="366"/>
      <c r="M30" s="366"/>
    </row>
    <row r="31" spans="1:13" ht="15.75" x14ac:dyDescent="0.25">
      <c r="A31" s="51"/>
      <c r="B31" s="63" t="s">
        <v>243</v>
      </c>
      <c r="C31" s="388">
        <v>63</v>
      </c>
      <c r="D31" s="388">
        <v>-14</v>
      </c>
      <c r="E31" s="388">
        <v>151</v>
      </c>
      <c r="F31" s="388">
        <v>-212</v>
      </c>
      <c r="G31" s="388">
        <v>-149</v>
      </c>
      <c r="H31" s="366"/>
      <c r="I31" s="373">
        <f>('Balance Sheet'!I58-'Balance Sheet'!G58)</f>
        <v>97.15067006190975</v>
      </c>
      <c r="J31" s="373">
        <f>'Balance Sheet'!J58-'Balance Sheet'!I58</f>
        <v>97.917414962988005</v>
      </c>
      <c r="K31" s="373">
        <f>'Balance Sheet'!K58-'Balance Sheet'!J58</f>
        <v>91.577685516643214</v>
      </c>
      <c r="L31" s="373">
        <f>'Balance Sheet'!L58-'Balance Sheet'!K58</f>
        <v>84.097700344533223</v>
      </c>
      <c r="M31" s="373">
        <f>'Balance Sheet'!M58-'Balance Sheet'!L58</f>
        <v>75.557986370383787</v>
      </c>
    </row>
    <row r="32" spans="1:13" ht="15.75" x14ac:dyDescent="0.25">
      <c r="A32" s="51"/>
      <c r="B32" s="51"/>
      <c r="C32" s="366"/>
      <c r="D32" s="366"/>
      <c r="E32" s="366"/>
      <c r="F32" s="366"/>
      <c r="G32" s="366"/>
      <c r="H32" s="366"/>
      <c r="I32" s="366"/>
      <c r="J32" s="366"/>
      <c r="K32" s="366"/>
      <c r="L32" s="366"/>
      <c r="M32" s="366"/>
    </row>
    <row r="33" spans="1:13" ht="15.75" x14ac:dyDescent="0.25">
      <c r="A33" s="51"/>
      <c r="B33" s="63" t="s">
        <v>111</v>
      </c>
      <c r="C33" s="388">
        <v>-12</v>
      </c>
      <c r="D33" s="388">
        <v>-29</v>
      </c>
      <c r="E33" s="388">
        <v>161</v>
      </c>
      <c r="F33" s="388">
        <v>-32</v>
      </c>
      <c r="G33" s="388">
        <v>98</v>
      </c>
      <c r="H33" s="366"/>
      <c r="I33" s="373">
        <f>'Balance Sheet'!I62-'Balance Sheet'!G62</f>
        <v>32.992701454537041</v>
      </c>
      <c r="J33" s="373">
        <f>'Balance Sheet'!J62-'Balance Sheet'!I62</f>
        <v>31.466721832263147</v>
      </c>
      <c r="K33" s="373">
        <f>'Balance Sheet'!K62-'Balance Sheet'!J62</f>
        <v>29.556939307458833</v>
      </c>
      <c r="L33" s="373">
        <f>'Balance Sheet'!L62-'Balance Sheet'!K62</f>
        <v>27.283180471977744</v>
      </c>
      <c r="M33" s="373">
        <f>'Balance Sheet'!M62-'Balance Sheet'!L62</f>
        <v>24.668986291987153</v>
      </c>
    </row>
    <row r="34" spans="1:13" ht="15.75" x14ac:dyDescent="0.25">
      <c r="A34" s="51"/>
      <c r="B34" s="51"/>
      <c r="C34" s="366"/>
      <c r="D34" s="366"/>
      <c r="E34" s="366"/>
      <c r="F34" s="366"/>
      <c r="G34" s="366"/>
      <c r="H34" s="366"/>
      <c r="I34" s="366"/>
      <c r="J34" s="366"/>
      <c r="K34" s="366"/>
      <c r="L34" s="366"/>
      <c r="M34" s="366"/>
    </row>
    <row r="35" spans="1:13" ht="15.75" x14ac:dyDescent="0.25">
      <c r="A35" s="51"/>
      <c r="B35" s="52" t="s">
        <v>244</v>
      </c>
      <c r="C35" s="386">
        <v>10</v>
      </c>
      <c r="D35" s="386">
        <v>34</v>
      </c>
      <c r="E35" s="386">
        <v>14</v>
      </c>
      <c r="F35" s="386">
        <v>15</v>
      </c>
      <c r="G35" s="386">
        <v>97</v>
      </c>
      <c r="H35" s="366"/>
      <c r="I35" s="367">
        <f>I36*'Income Statement'!I30</f>
        <v>18.625499165753951</v>
      </c>
      <c r="J35" s="367">
        <f>J36*'Income Statement'!J30</f>
        <v>19.494432935073689</v>
      </c>
      <c r="K35" s="367">
        <f>K36*'Income Statement'!K30</f>
        <v>20.320345235805092</v>
      </c>
      <c r="L35" s="367">
        <f>L36*'Income Statement'!L30</f>
        <v>21.093372175101024</v>
      </c>
      <c r="M35" s="367">
        <f>M36*'Income Statement'!M30</f>
        <v>21.804121901710982</v>
      </c>
    </row>
    <row r="36" spans="1:13" ht="15.75" x14ac:dyDescent="0.25">
      <c r="A36" s="51"/>
      <c r="B36" s="8" t="s">
        <v>192</v>
      </c>
      <c r="C36" s="364">
        <f>C35/'Income Statement'!C30</f>
        <v>1.6393442622950821E-2</v>
      </c>
      <c r="D36" s="364">
        <f>D35/'Income Statement'!D30</f>
        <v>3.9260969976905313E-2</v>
      </c>
      <c r="E36" s="364">
        <f>E35/'Income Statement'!E30</f>
        <v>1.7925736235595392E-2</v>
      </c>
      <c r="F36" s="364">
        <f>F35/'Income Statement'!F30</f>
        <v>1.5511892450879007E-2</v>
      </c>
      <c r="G36" s="364">
        <f>G35/'Income Statement'!G30</f>
        <v>0.10948081264108352</v>
      </c>
      <c r="H36" s="212"/>
      <c r="I36" s="364">
        <f>MEDIAN($E$36:$G$36)</f>
        <v>1.7925736235595392E-2</v>
      </c>
      <c r="J36" s="364">
        <f t="shared" ref="J36:M36" si="3">MEDIAN($E$36:$G$36)</f>
        <v>1.7925736235595392E-2</v>
      </c>
      <c r="K36" s="364">
        <f t="shared" si="3"/>
        <v>1.7925736235595392E-2</v>
      </c>
      <c r="L36" s="364">
        <f t="shared" si="3"/>
        <v>1.7925736235595392E-2</v>
      </c>
      <c r="M36" s="364">
        <f t="shared" si="3"/>
        <v>1.7925736235595392E-2</v>
      </c>
    </row>
    <row r="37" spans="1:13" ht="15.75" x14ac:dyDescent="0.25">
      <c r="A37" s="51"/>
      <c r="B37" s="51"/>
      <c r="C37" s="387"/>
      <c r="D37" s="387"/>
      <c r="E37" s="387"/>
      <c r="F37" s="387"/>
      <c r="G37" s="387"/>
      <c r="H37" s="387"/>
      <c r="I37" s="387"/>
      <c r="J37" s="387"/>
      <c r="K37" s="387"/>
      <c r="L37" s="387"/>
      <c r="M37" s="387"/>
    </row>
    <row r="38" spans="1:13" ht="15.75" x14ac:dyDescent="0.25">
      <c r="A38" s="61"/>
      <c r="B38" s="62" t="s">
        <v>245</v>
      </c>
      <c r="C38" s="376">
        <f>SUM(C6,C9,C11,C14,C17,C19,C27,C29,C31,C33,C35)-69</f>
        <v>768</v>
      </c>
      <c r="D38" s="376">
        <f>SUM(D6,D9,D11,D14,D17,D19,D27,D29,D31,D33,D35)+10</f>
        <v>992</v>
      </c>
      <c r="E38" s="376">
        <f>SUM(E6,E9,E11,E14,E17,E19,E27,E29,E31,E33,E35)+124</f>
        <v>1334</v>
      </c>
      <c r="F38" s="376">
        <f>SUM(F6,F9,F11,F14,F17,F19,F27,F29,F31,F33,F35)-36</f>
        <v>1031</v>
      </c>
      <c r="G38" s="376">
        <f>SUM(G6,G9,G11,G14,G17,G19,G27,G29,G31,G33,G35)</f>
        <v>986</v>
      </c>
      <c r="H38" s="384"/>
      <c r="I38" s="376">
        <f>SUM(I6,I9,I11,I14,I17,I19,I27,I29,I31,I33,I35)</f>
        <v>1316.727916068942</v>
      </c>
      <c r="J38" s="376">
        <f>SUM(J6,J9,J11,J14,J17,J19,J27,J29,J31,J33,J35)</f>
        <v>1393.2802418782192</v>
      </c>
      <c r="K38" s="376">
        <f>SUM(K6,K9,K11,K14,K17,K19,K27,K29,K31,K33,K35)</f>
        <v>1454.2912723931888</v>
      </c>
      <c r="L38" s="376">
        <f>SUM(L6,L9,L11,L14,L17,L19,L27,L29,L31,L33,L35)</f>
        <v>1511.5692427254028</v>
      </c>
      <c r="M38" s="376">
        <f>SUM(M6,M9,M11,M14,M17,M19,M27,M29,M31,M33,M35)</f>
        <v>1564.3966042609482</v>
      </c>
    </row>
    <row r="39" spans="1:13" ht="15.75" x14ac:dyDescent="0.25">
      <c r="A39" s="51"/>
      <c r="B39" s="51"/>
      <c r="C39" s="366"/>
      <c r="D39" s="366"/>
      <c r="E39" s="366"/>
      <c r="F39" s="366"/>
      <c r="G39" s="366"/>
      <c r="H39" s="366"/>
      <c r="I39" s="366"/>
      <c r="J39" s="366"/>
      <c r="K39" s="366"/>
      <c r="L39" s="366"/>
      <c r="M39" s="366"/>
    </row>
    <row r="40" spans="1:13" ht="15.75" x14ac:dyDescent="0.25">
      <c r="A40" s="61"/>
      <c r="B40" s="61" t="s">
        <v>246</v>
      </c>
      <c r="C40" s="366"/>
      <c r="D40" s="366"/>
      <c r="E40" s="366"/>
      <c r="F40" s="366"/>
      <c r="G40" s="366"/>
      <c r="H40" s="366"/>
      <c r="I40" s="366"/>
      <c r="J40" s="366"/>
      <c r="K40" s="366"/>
      <c r="L40" s="366"/>
      <c r="M40" s="366"/>
    </row>
    <row r="41" spans="1:13" ht="15.75" x14ac:dyDescent="0.25">
      <c r="A41" s="51"/>
      <c r="B41" s="63" t="s">
        <v>247</v>
      </c>
      <c r="C41" s="388">
        <v>-81</v>
      </c>
      <c r="D41" s="388">
        <v>-94</v>
      </c>
      <c r="E41" s="388">
        <v>-2655</v>
      </c>
      <c r="F41" s="388">
        <v>-622</v>
      </c>
      <c r="G41" s="388">
        <v>-192</v>
      </c>
      <c r="H41" s="366"/>
      <c r="I41" s="476">
        <v>0</v>
      </c>
      <c r="J41" s="476">
        <v>0</v>
      </c>
      <c r="K41" s="476">
        <v>0</v>
      </c>
      <c r="L41" s="476">
        <v>0</v>
      </c>
      <c r="M41" s="476">
        <v>0</v>
      </c>
    </row>
    <row r="42" spans="1:13" ht="15.75" x14ac:dyDescent="0.25">
      <c r="A42" s="51"/>
      <c r="B42" s="51"/>
      <c r="C42" s="366"/>
      <c r="D42" s="366"/>
      <c r="E42" s="366"/>
      <c r="F42" s="366"/>
      <c r="G42" s="366"/>
      <c r="H42" s="366"/>
      <c r="I42" s="366"/>
      <c r="J42" s="366"/>
      <c r="K42" s="366"/>
      <c r="L42" s="366"/>
      <c r="M42" s="366"/>
    </row>
    <row r="43" spans="1:13" ht="15.75" x14ac:dyDescent="0.25">
      <c r="A43" s="51"/>
      <c r="B43" s="63" t="s">
        <v>248</v>
      </c>
      <c r="C43" s="388">
        <v>0</v>
      </c>
      <c r="D43" s="388">
        <v>178</v>
      </c>
      <c r="E43" s="388">
        <v>0</v>
      </c>
      <c r="F43" s="388">
        <v>0</v>
      </c>
      <c r="G43" s="388">
        <v>15</v>
      </c>
      <c r="H43" s="366"/>
      <c r="I43" s="476">
        <v>0</v>
      </c>
      <c r="J43" s="476">
        <v>0</v>
      </c>
      <c r="K43" s="476">
        <v>0</v>
      </c>
      <c r="L43" s="476">
        <v>0</v>
      </c>
      <c r="M43" s="476">
        <v>0</v>
      </c>
    </row>
    <row r="44" spans="1:13" ht="15.75" x14ac:dyDescent="0.25">
      <c r="A44" s="51"/>
      <c r="B44" s="51"/>
      <c r="C44" s="366"/>
      <c r="D44" s="366"/>
      <c r="E44" s="366"/>
      <c r="F44" s="366"/>
      <c r="G44" s="366"/>
      <c r="H44" s="366"/>
      <c r="I44" s="366"/>
      <c r="J44" s="366"/>
      <c r="K44" s="366"/>
      <c r="L44" s="366"/>
      <c r="M44" s="366"/>
    </row>
    <row r="45" spans="1:13" ht="15.75" x14ac:dyDescent="0.25">
      <c r="A45" s="51"/>
      <c r="B45" s="63" t="s">
        <v>249</v>
      </c>
      <c r="C45" s="388">
        <v>-73</v>
      </c>
      <c r="D45" s="388">
        <v>-121</v>
      </c>
      <c r="E45" s="388">
        <v>-183</v>
      </c>
      <c r="F45" s="388">
        <v>-104</v>
      </c>
      <c r="G45" s="388">
        <v>-129</v>
      </c>
      <c r="H45" s="366"/>
      <c r="I45" s="389">
        <f>-'Balance Sheet'!I26</f>
        <v>-135.07141011074933</v>
      </c>
      <c r="J45" s="389">
        <f>-'Balance Sheet'!J26</f>
        <v>-136.76193803343787</v>
      </c>
      <c r="K45" s="389">
        <f>-'Balance Sheet'!K26</f>
        <v>-138.77742114865777</v>
      </c>
      <c r="L45" s="389">
        <f>-'Balance Sheet'!L26</f>
        <v>-138.47383540691681</v>
      </c>
      <c r="M45" s="389">
        <f>-'Balance Sheet'!M26</f>
        <v>-137.40995106171732</v>
      </c>
    </row>
    <row r="46" spans="1:13" ht="15.75" x14ac:dyDescent="0.25">
      <c r="A46" s="51"/>
      <c r="B46" s="51"/>
      <c r="C46" s="366"/>
      <c r="D46" s="366"/>
      <c r="E46" s="366"/>
      <c r="F46" s="366"/>
      <c r="G46" s="366"/>
      <c r="H46" s="366"/>
      <c r="I46" s="366"/>
      <c r="J46" s="366"/>
      <c r="K46" s="366"/>
      <c r="L46" s="366"/>
      <c r="M46" s="366"/>
    </row>
    <row r="47" spans="1:13" ht="15.75" x14ac:dyDescent="0.25">
      <c r="A47" s="51"/>
      <c r="B47" s="63" t="s">
        <v>250</v>
      </c>
      <c r="C47" s="388">
        <v>0</v>
      </c>
      <c r="D47" s="388">
        <v>96</v>
      </c>
      <c r="E47" s="388">
        <v>12</v>
      </c>
      <c r="F47" s="388">
        <v>0</v>
      </c>
      <c r="G47" s="388">
        <v>6</v>
      </c>
      <c r="H47" s="366"/>
      <c r="I47" s="476">
        <v>0</v>
      </c>
      <c r="J47" s="476">
        <v>0</v>
      </c>
      <c r="K47" s="476">
        <v>0</v>
      </c>
      <c r="L47" s="476">
        <v>0</v>
      </c>
      <c r="M47" s="476">
        <v>0</v>
      </c>
    </row>
    <row r="48" spans="1:13" ht="15.75" x14ac:dyDescent="0.25">
      <c r="A48" s="51"/>
      <c r="B48" s="51"/>
      <c r="C48" s="366"/>
      <c r="D48" s="366"/>
      <c r="E48" s="366"/>
      <c r="F48" s="366"/>
      <c r="G48" s="366"/>
      <c r="H48" s="366"/>
      <c r="I48" s="366"/>
      <c r="J48" s="366"/>
      <c r="K48" s="366"/>
      <c r="L48" s="366"/>
      <c r="M48" s="366"/>
    </row>
    <row r="49" spans="1:13" ht="15.75" x14ac:dyDescent="0.25">
      <c r="A49" s="51"/>
      <c r="B49" s="63" t="s">
        <v>240</v>
      </c>
      <c r="C49" s="388">
        <v>40</v>
      </c>
      <c r="D49" s="388">
        <v>6</v>
      </c>
      <c r="E49" s="388">
        <v>11</v>
      </c>
      <c r="F49" s="388">
        <v>-4</v>
      </c>
      <c r="G49" s="388">
        <v>-13</v>
      </c>
      <c r="H49" s="366"/>
      <c r="I49" s="476">
        <v>0</v>
      </c>
      <c r="J49" s="476">
        <v>0</v>
      </c>
      <c r="K49" s="476">
        <v>0</v>
      </c>
      <c r="L49" s="476">
        <v>0</v>
      </c>
      <c r="M49" s="476">
        <v>0</v>
      </c>
    </row>
    <row r="50" spans="1:13" ht="15.75" x14ac:dyDescent="0.25">
      <c r="A50" s="51"/>
      <c r="B50" s="51"/>
      <c r="C50" s="366"/>
      <c r="D50" s="366"/>
      <c r="E50" s="366"/>
      <c r="F50" s="366"/>
      <c r="G50" s="366"/>
      <c r="H50" s="366"/>
      <c r="I50" s="366"/>
      <c r="J50" s="366"/>
      <c r="K50" s="366"/>
      <c r="L50" s="366"/>
      <c r="M50" s="366"/>
    </row>
    <row r="51" spans="1:13" ht="15.75" x14ac:dyDescent="0.25">
      <c r="A51" s="157" t="s">
        <v>181</v>
      </c>
      <c r="B51" s="62" t="s">
        <v>251</v>
      </c>
      <c r="C51" s="376">
        <f>C41+C43+C45+C47+C50+40</f>
        <v>-114</v>
      </c>
      <c r="D51" s="376">
        <f>D41+D43+D45+D47+D50+6</f>
        <v>65</v>
      </c>
      <c r="E51" s="376">
        <f>E41+E43+E45+E47+E50+11</f>
        <v>-2815</v>
      </c>
      <c r="F51" s="376">
        <f>F41+F43+F45+F47+F50-4</f>
        <v>-730</v>
      </c>
      <c r="G51" s="376">
        <f>G41+G43+G45+G47+G50-13</f>
        <v>-313</v>
      </c>
      <c r="H51" s="366"/>
      <c r="I51" s="376">
        <f>SUM(I49,I47,I45,I43,I41)</f>
        <v>-135.07141011074933</v>
      </c>
      <c r="J51" s="376">
        <f t="shared" ref="J51:M51" si="4">SUM(J49,J47,J45,J43,J41)</f>
        <v>-136.76193803343787</v>
      </c>
      <c r="K51" s="376">
        <f t="shared" si="4"/>
        <v>-138.77742114865777</v>
      </c>
      <c r="L51" s="376">
        <f t="shared" si="4"/>
        <v>-138.47383540691681</v>
      </c>
      <c r="M51" s="376">
        <f t="shared" si="4"/>
        <v>-137.40995106171732</v>
      </c>
    </row>
    <row r="52" spans="1:13" ht="15.75" x14ac:dyDescent="0.25">
      <c r="A52" s="51"/>
      <c r="B52" s="51"/>
      <c r="C52" s="366"/>
      <c r="D52" s="366"/>
      <c r="E52" s="366"/>
      <c r="F52" s="366"/>
      <c r="G52" s="366"/>
      <c r="H52" s="366"/>
      <c r="I52" s="366"/>
      <c r="J52" s="366"/>
      <c r="K52" s="366"/>
      <c r="L52" s="366"/>
      <c r="M52" s="366"/>
    </row>
    <row r="53" spans="1:13" ht="15.75" x14ac:dyDescent="0.25">
      <c r="A53" s="61"/>
      <c r="B53" s="61"/>
      <c r="C53" s="366"/>
      <c r="D53" s="366"/>
      <c r="E53" s="366"/>
      <c r="F53" s="366"/>
      <c r="G53" s="366"/>
      <c r="H53" s="366"/>
      <c r="I53" s="366"/>
      <c r="J53" s="366"/>
      <c r="K53" s="366"/>
      <c r="L53" s="366"/>
      <c r="M53" s="366"/>
    </row>
    <row r="54" spans="1:13" ht="15.75" x14ac:dyDescent="0.25">
      <c r="A54" s="51"/>
      <c r="B54" s="61" t="s">
        <v>252</v>
      </c>
      <c r="C54" s="366"/>
      <c r="D54" s="366"/>
      <c r="E54" s="366"/>
      <c r="F54" s="366"/>
      <c r="G54" s="366"/>
      <c r="H54" s="366"/>
      <c r="I54" s="366"/>
      <c r="J54" s="366"/>
      <c r="K54" s="366"/>
      <c r="L54" s="366"/>
      <c r="M54" s="366"/>
    </row>
    <row r="55" spans="1:13" ht="15.75" x14ac:dyDescent="0.25">
      <c r="A55" s="51"/>
      <c r="B55" s="63" t="s">
        <v>253</v>
      </c>
      <c r="C55" s="388">
        <v>0</v>
      </c>
      <c r="D55" s="388">
        <v>0</v>
      </c>
      <c r="E55" s="388">
        <v>7225</v>
      </c>
      <c r="F55" s="388">
        <v>380</v>
      </c>
      <c r="G55" s="388">
        <v>380</v>
      </c>
      <c r="H55" s="366"/>
      <c r="I55" s="476">
        <v>0</v>
      </c>
      <c r="J55" s="476">
        <v>0</v>
      </c>
      <c r="K55" s="476">
        <v>0</v>
      </c>
      <c r="L55" s="476">
        <v>0</v>
      </c>
      <c r="M55" s="476">
        <v>0</v>
      </c>
    </row>
    <row r="56" spans="1:13" ht="15.75" x14ac:dyDescent="0.25">
      <c r="A56" s="51"/>
      <c r="B56" s="51"/>
      <c r="C56" s="390"/>
      <c r="D56" s="390"/>
      <c r="E56" s="390"/>
      <c r="F56" s="390"/>
      <c r="G56" s="390"/>
      <c r="H56" s="366"/>
      <c r="I56" s="366"/>
      <c r="J56" s="366"/>
      <c r="K56" s="366"/>
      <c r="L56" s="366"/>
      <c r="M56" s="366"/>
    </row>
    <row r="57" spans="1:13" ht="15.75" x14ac:dyDescent="0.25">
      <c r="A57" s="51"/>
      <c r="B57" s="63" t="s">
        <v>254</v>
      </c>
      <c r="C57" s="388">
        <v>-59</v>
      </c>
      <c r="D57" s="388">
        <v>-80</v>
      </c>
      <c r="E57" s="388">
        <v>-5456</v>
      </c>
      <c r="F57" s="388">
        <v>-106</v>
      </c>
      <c r="G57" s="388">
        <v>-545</v>
      </c>
      <c r="H57" s="366"/>
      <c r="I57" s="476">
        <v>-545</v>
      </c>
      <c r="J57" s="476">
        <v>-545</v>
      </c>
      <c r="K57" s="476">
        <v>-545</v>
      </c>
      <c r="L57" s="476">
        <v>-545</v>
      </c>
      <c r="M57" s="476">
        <v>-545</v>
      </c>
    </row>
    <row r="58" spans="1:13" ht="15.75" x14ac:dyDescent="0.25">
      <c r="A58" s="51"/>
      <c r="B58" s="51"/>
      <c r="C58" s="390"/>
      <c r="D58" s="390"/>
      <c r="E58" s="390"/>
      <c r="F58" s="390"/>
      <c r="G58" s="390"/>
      <c r="H58" s="366"/>
      <c r="I58" s="390"/>
      <c r="J58" s="390"/>
      <c r="K58" s="390"/>
      <c r="L58" s="390"/>
      <c r="M58" s="390"/>
    </row>
    <row r="59" spans="1:13" ht="15.75" x14ac:dyDescent="0.25">
      <c r="A59" s="51"/>
      <c r="B59" s="63" t="s">
        <v>255</v>
      </c>
      <c r="C59" s="388">
        <v>-198</v>
      </c>
      <c r="D59" s="388">
        <v>-198</v>
      </c>
      <c r="E59" s="388">
        <v>-196</v>
      </c>
      <c r="F59" s="388">
        <v>-199</v>
      </c>
      <c r="G59" s="388">
        <v>-199</v>
      </c>
      <c r="H59" s="366"/>
      <c r="I59" s="476">
        <v>-199</v>
      </c>
      <c r="J59" s="476">
        <v>-199</v>
      </c>
      <c r="K59" s="476">
        <v>-199</v>
      </c>
      <c r="L59" s="476">
        <v>-199</v>
      </c>
      <c r="M59" s="476">
        <v>-199</v>
      </c>
    </row>
    <row r="60" spans="1:13" ht="15.75" x14ac:dyDescent="0.25">
      <c r="A60" s="51"/>
      <c r="B60" s="51"/>
      <c r="C60" s="390"/>
      <c r="D60" s="390"/>
      <c r="E60" s="390"/>
      <c r="F60" s="390"/>
      <c r="G60" s="390"/>
      <c r="H60" s="366"/>
      <c r="I60" s="366"/>
      <c r="J60" s="366"/>
      <c r="K60" s="366"/>
      <c r="L60" s="366"/>
      <c r="M60" s="366"/>
    </row>
    <row r="61" spans="1:13" ht="15.75" x14ac:dyDescent="0.25">
      <c r="A61" s="51"/>
      <c r="B61" s="63" t="s">
        <v>256</v>
      </c>
      <c r="C61" s="388">
        <v>-438</v>
      </c>
      <c r="D61" s="388">
        <v>-458</v>
      </c>
      <c r="E61" s="388">
        <v>-105</v>
      </c>
      <c r="F61" s="388">
        <v>-270</v>
      </c>
      <c r="G61" s="388">
        <v>-542</v>
      </c>
      <c r="H61" s="366"/>
      <c r="I61" s="476">
        <v>0</v>
      </c>
      <c r="J61" s="476">
        <v>0</v>
      </c>
      <c r="K61" s="476">
        <v>0</v>
      </c>
      <c r="L61" s="476">
        <v>0</v>
      </c>
      <c r="M61" s="476">
        <v>0</v>
      </c>
    </row>
    <row r="62" spans="1:13" ht="15.75" x14ac:dyDescent="0.25">
      <c r="A62" s="51"/>
      <c r="B62" s="51"/>
      <c r="C62" s="390"/>
      <c r="D62" s="390"/>
      <c r="E62" s="390"/>
      <c r="F62" s="390"/>
      <c r="G62" s="390"/>
      <c r="H62" s="366"/>
      <c r="I62" s="390"/>
      <c r="J62" s="390"/>
      <c r="K62" s="390"/>
      <c r="L62" s="390"/>
      <c r="M62" s="390"/>
    </row>
    <row r="63" spans="1:13" ht="15.75" x14ac:dyDescent="0.25">
      <c r="A63" s="51"/>
      <c r="B63" s="63" t="s">
        <v>257</v>
      </c>
      <c r="C63" s="388">
        <v>14</v>
      </c>
      <c r="D63" s="388">
        <v>27</v>
      </c>
      <c r="E63" s="388">
        <v>35</v>
      </c>
      <c r="F63" s="388">
        <v>44</v>
      </c>
      <c r="G63" s="388">
        <v>48</v>
      </c>
      <c r="H63" s="366"/>
      <c r="I63" s="476">
        <v>0</v>
      </c>
      <c r="J63" s="476">
        <v>0</v>
      </c>
      <c r="K63" s="476">
        <v>0</v>
      </c>
      <c r="L63" s="476">
        <v>0</v>
      </c>
      <c r="M63" s="476">
        <v>0</v>
      </c>
    </row>
    <row r="64" spans="1:13" ht="15.75" x14ac:dyDescent="0.25">
      <c r="A64" s="51"/>
      <c r="B64" s="51"/>
      <c r="C64" s="390"/>
      <c r="D64" s="390"/>
      <c r="E64" s="390"/>
      <c r="F64" s="390"/>
      <c r="G64" s="390"/>
      <c r="H64" s="366"/>
      <c r="I64" s="390"/>
      <c r="J64" s="390"/>
      <c r="K64" s="390"/>
      <c r="L64" s="390"/>
      <c r="M64" s="390"/>
    </row>
    <row r="65" spans="1:16" ht="15.75" x14ac:dyDescent="0.25">
      <c r="A65" s="51"/>
      <c r="B65" s="63" t="s">
        <v>240</v>
      </c>
      <c r="C65" s="388">
        <v>0</v>
      </c>
      <c r="D65" s="388">
        <f>-23+14-17</f>
        <v>-26</v>
      </c>
      <c r="E65" s="388">
        <v>-52</v>
      </c>
      <c r="F65" s="388">
        <v>38</v>
      </c>
      <c r="G65" s="388">
        <v>-7</v>
      </c>
      <c r="H65" s="366"/>
      <c r="I65" s="373">
        <f>'Balance Sheet'!I92-SUM('Balance Sheet'!I10,'Balance Sheet'!I14,'Balance Sheet'!I18,'Balance Sheet'!I34,'Balance Sheet'!I36,'Balance Sheet'!I45,'Balance Sheet'!I48,I38,I51,I55,I57,I59,I61,I63,I71)</f>
        <v>43.029970601401146</v>
      </c>
      <c r="J65" s="373">
        <f>'Balance Sheet'!J92-SUM('Balance Sheet'!J10,'Balance Sheet'!J14,'Balance Sheet'!J18,'Balance Sheet'!J34,'Balance Sheet'!J36,'Balance Sheet'!J45,'Balance Sheet'!J48,J38,J51,J55,J57,J59,J61,J63,J71)</f>
        <v>33.18241140399914</v>
      </c>
      <c r="K65" s="373">
        <f>'Balance Sheet'!K92-SUM('Balance Sheet'!K10,'Balance Sheet'!K14,'Balance Sheet'!K18,'Balance Sheet'!K34,'Balance Sheet'!K36,'Balance Sheet'!K45,'Balance Sheet'!K48,K38,K51,K55,K57,K59,K61,K63,K71)</f>
        <v>10.876848953135777</v>
      </c>
      <c r="L65" s="373">
        <f>'Balance Sheet'!L92-SUM('Balance Sheet'!L10,'Balance Sheet'!L14,'Balance Sheet'!L18,'Balance Sheet'!L34,'Balance Sheet'!L36,'Balance Sheet'!L45,'Balance Sheet'!L48,L38,L51,L55,L57,L59,L61,L63,L71)</f>
        <v>-9.2212716850990546</v>
      </c>
      <c r="M65" s="373">
        <f>'Balance Sheet'!M92-SUM('Balance Sheet'!M10,'Balance Sheet'!M14,'Balance Sheet'!M18,'Balance Sheet'!M34,'Balance Sheet'!M36,'Balance Sheet'!M45,'Balance Sheet'!M48,M38,M51,M55,M57,M59,M61,M63,M71)</f>
        <v>-33.706133721309016</v>
      </c>
      <c r="P65" s="398"/>
    </row>
    <row r="66" spans="1:16" ht="15.75" x14ac:dyDescent="0.25">
      <c r="A66" s="51"/>
      <c r="B66" s="51"/>
      <c r="C66" s="366"/>
      <c r="D66" s="366"/>
      <c r="E66" s="366"/>
      <c r="F66" s="366"/>
      <c r="G66" s="366"/>
      <c r="H66" s="366"/>
      <c r="I66" s="366"/>
      <c r="J66" s="366"/>
      <c r="K66" s="366"/>
      <c r="L66" s="366"/>
      <c r="M66" s="366"/>
    </row>
    <row r="67" spans="1:16" ht="15.75" x14ac:dyDescent="0.25">
      <c r="A67" s="61"/>
      <c r="B67" s="62" t="s">
        <v>251</v>
      </c>
      <c r="C67" s="376">
        <f>SUM(C65,C63,C61,C59,C57,C55)-26</f>
        <v>-707</v>
      </c>
      <c r="D67" s="376">
        <f>SUM(D65,D63,D61,D59,D57,D55)+26</f>
        <v>-709</v>
      </c>
      <c r="E67" s="376">
        <f>SUM(E65,E63,E61,E59,E57,E55)</f>
        <v>1451</v>
      </c>
      <c r="F67" s="376">
        <f>SUM(F65,F63,F61,F59,F57,F55)</f>
        <v>-113</v>
      </c>
      <c r="G67" s="376">
        <f>SUM(G65,G63,G61,G59,G57,G55)</f>
        <v>-865</v>
      </c>
      <c r="H67" s="366"/>
      <c r="I67" s="376">
        <f>SUM(I55,I57,I59,I61,I63,I65)</f>
        <v>-700.97002939859885</v>
      </c>
      <c r="J67" s="376">
        <f t="shared" ref="J67:M67" si="5">SUM(J55,J57,J59,J61,J63,J65)</f>
        <v>-710.81758859600086</v>
      </c>
      <c r="K67" s="376">
        <f t="shared" si="5"/>
        <v>-733.12315104686422</v>
      </c>
      <c r="L67" s="376">
        <f t="shared" si="5"/>
        <v>-753.22127168509905</v>
      </c>
      <c r="M67" s="376">
        <f t="shared" si="5"/>
        <v>-777.70613372130902</v>
      </c>
    </row>
    <row r="68" spans="1:16" ht="15.75" x14ac:dyDescent="0.25">
      <c r="A68" s="61"/>
      <c r="B68" s="61"/>
      <c r="C68" s="384"/>
      <c r="D68" s="384"/>
      <c r="E68" s="384"/>
      <c r="F68" s="384"/>
      <c r="G68" s="384"/>
      <c r="H68" s="366"/>
      <c r="I68" s="366"/>
      <c r="J68" s="366"/>
      <c r="K68" s="366"/>
      <c r="L68" s="366"/>
      <c r="M68" s="366"/>
    </row>
    <row r="69" spans="1:16" ht="15.75" x14ac:dyDescent="0.25">
      <c r="A69" s="61"/>
      <c r="B69" s="62" t="s">
        <v>258</v>
      </c>
      <c r="C69" s="376">
        <f>C38+C51+C67</f>
        <v>-53</v>
      </c>
      <c r="D69" s="376">
        <f>SUM(D38,D51,D67)</f>
        <v>348</v>
      </c>
      <c r="E69" s="376">
        <f>SUM(E38,E51,E67)</f>
        <v>-30</v>
      </c>
      <c r="F69" s="376">
        <f>SUM(F38,F51,F67)</f>
        <v>188</v>
      </c>
      <c r="G69" s="376">
        <f>SUM(G38,G51,G67)</f>
        <v>-192</v>
      </c>
      <c r="H69" s="384"/>
      <c r="I69" s="376">
        <f>SUM(I38,I51,I67)</f>
        <v>480.68647655959376</v>
      </c>
      <c r="J69" s="376">
        <f>SUM(J38,J51,J67)</f>
        <v>545.7007152487804</v>
      </c>
      <c r="K69" s="376">
        <f>SUM(K38,K51,K67)</f>
        <v>582.39070019766677</v>
      </c>
      <c r="L69" s="376">
        <f>SUM(L38,L51,L67)</f>
        <v>619.87413563338691</v>
      </c>
      <c r="M69" s="376">
        <f>SUM(M38,M51,M67)</f>
        <v>649.28051947792187</v>
      </c>
    </row>
    <row r="70" spans="1:16" ht="15.75" x14ac:dyDescent="0.25">
      <c r="A70" s="61"/>
      <c r="B70" s="61"/>
      <c r="C70" s="384"/>
      <c r="D70" s="384"/>
      <c r="E70" s="384"/>
      <c r="F70" s="384"/>
      <c r="G70" s="384"/>
      <c r="H70" s="366"/>
      <c r="I70" s="366"/>
      <c r="J70" s="366"/>
      <c r="K70" s="366"/>
      <c r="L70" s="366"/>
      <c r="M70" s="366"/>
    </row>
    <row r="71" spans="1:16" ht="15.75" x14ac:dyDescent="0.25">
      <c r="A71" s="61"/>
      <c r="B71" s="62" t="s">
        <v>259</v>
      </c>
      <c r="C71" s="391">
        <v>422</v>
      </c>
      <c r="D71" s="376">
        <f>C73</f>
        <v>369</v>
      </c>
      <c r="E71" s="376">
        <f>D73</f>
        <v>717</v>
      </c>
      <c r="F71" s="376">
        <f t="shared" ref="F71:G71" si="6">E73</f>
        <v>687</v>
      </c>
      <c r="G71" s="376">
        <f t="shared" si="6"/>
        <v>875</v>
      </c>
      <c r="H71" s="384"/>
      <c r="I71" s="376">
        <f>G73</f>
        <v>683</v>
      </c>
      <c r="J71" s="376">
        <f>I73</f>
        <v>1163.6864765595938</v>
      </c>
      <c r="K71" s="376">
        <f>J73</f>
        <v>1709.3871918083742</v>
      </c>
      <c r="L71" s="376">
        <f t="shared" ref="L71:M71" si="7">K73</f>
        <v>2291.7778920060409</v>
      </c>
      <c r="M71" s="376">
        <f t="shared" si="7"/>
        <v>2911.6520276394276</v>
      </c>
    </row>
    <row r="72" spans="1:16" ht="15.75" x14ac:dyDescent="0.25">
      <c r="A72" s="61"/>
      <c r="B72" s="61"/>
      <c r="C72" s="384"/>
      <c r="D72" s="384"/>
      <c r="E72" s="384"/>
      <c r="F72" s="384"/>
      <c r="G72" s="384"/>
      <c r="H72" s="384"/>
      <c r="I72" s="384"/>
      <c r="J72" s="384"/>
      <c r="K72" s="384"/>
      <c r="L72" s="384"/>
      <c r="M72" s="384"/>
    </row>
    <row r="73" spans="1:16" ht="15.75" x14ac:dyDescent="0.25">
      <c r="A73" s="157" t="s">
        <v>181</v>
      </c>
      <c r="B73" s="62" t="s">
        <v>260</v>
      </c>
      <c r="C73" s="376">
        <f>C71+(C38+C51+C67)</f>
        <v>369</v>
      </c>
      <c r="D73" s="376">
        <f>D69+D71</f>
        <v>717</v>
      </c>
      <c r="E73" s="376">
        <f t="shared" ref="E73:G73" si="8">E69+E71</f>
        <v>687</v>
      </c>
      <c r="F73" s="376">
        <f t="shared" si="8"/>
        <v>875</v>
      </c>
      <c r="G73" s="376">
        <f t="shared" si="8"/>
        <v>683</v>
      </c>
      <c r="H73" s="384"/>
      <c r="I73" s="376">
        <f>I71+I69</f>
        <v>1163.6864765595938</v>
      </c>
      <c r="J73" s="376">
        <f t="shared" ref="J73:M73" si="9">J71+J69</f>
        <v>1709.3871918083742</v>
      </c>
      <c r="K73" s="376">
        <f t="shared" si="9"/>
        <v>2291.7778920060409</v>
      </c>
      <c r="L73" s="376">
        <f t="shared" si="9"/>
        <v>2911.6520276394276</v>
      </c>
      <c r="M73" s="376">
        <f t="shared" si="9"/>
        <v>3560.9325471173497</v>
      </c>
    </row>
    <row r="74" spans="1:16" x14ac:dyDescent="0.25">
      <c r="C74" s="4"/>
    </row>
    <row r="75" spans="1:16" x14ac:dyDescent="0.25">
      <c r="C75" s="4"/>
    </row>
  </sheetData>
  <pageMargins left="0.7" right="0.7" top="0.75" bottom="0.75" header="0.3" footer="0.3"/>
  <pageSetup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08A94-74EC-4783-97EF-E1B13ECF1801}">
  <sheetPr>
    <pageSetUpPr fitToPage="1"/>
  </sheetPr>
  <dimension ref="A1:M47"/>
  <sheetViews>
    <sheetView showGridLines="0" zoomScale="80" zoomScaleNormal="80" workbookViewId="0"/>
  </sheetViews>
  <sheetFormatPr defaultColWidth="8.85546875" defaultRowHeight="15" x14ac:dyDescent="0.25"/>
  <cols>
    <col min="1" max="1" width="2.85546875" customWidth="1"/>
    <col min="2" max="2" width="23.85546875" customWidth="1"/>
    <col min="3" max="7" width="11.85546875" customWidth="1"/>
    <col min="8" max="8" width="2.85546875" customWidth="1"/>
    <col min="9" max="13" width="11.85546875" customWidth="1"/>
  </cols>
  <sheetData>
    <row r="1" spans="1:13" s="232" customFormat="1" x14ac:dyDescent="0.25"/>
    <row r="2" spans="1:13" s="291" customFormat="1" ht="34.5" x14ac:dyDescent="0.45">
      <c r="B2" s="308" t="s">
        <v>261</v>
      </c>
    </row>
    <row r="3" spans="1:13" ht="35.25" x14ac:dyDescent="0.5">
      <c r="B3" s="65"/>
    </row>
    <row r="4" spans="1:13" ht="22.5" x14ac:dyDescent="0.3">
      <c r="B4" s="225" t="s">
        <v>262</v>
      </c>
    </row>
    <row r="5" spans="1:13" ht="15.75" x14ac:dyDescent="0.25">
      <c r="A5" s="157" t="s">
        <v>181</v>
      </c>
      <c r="B5" s="1" t="s">
        <v>179</v>
      </c>
      <c r="C5" s="2" t="s">
        <v>94</v>
      </c>
      <c r="D5" s="2" t="s">
        <v>95</v>
      </c>
      <c r="E5" s="2" t="s">
        <v>96</v>
      </c>
      <c r="F5" s="2" t="s">
        <v>97</v>
      </c>
      <c r="G5" s="2" t="s">
        <v>98</v>
      </c>
      <c r="I5" s="2" t="s">
        <v>99</v>
      </c>
      <c r="J5" s="2" t="s">
        <v>100</v>
      </c>
      <c r="K5" s="2" t="s">
        <v>101</v>
      </c>
      <c r="L5" s="2" t="s">
        <v>102</v>
      </c>
      <c r="M5" s="2" t="s">
        <v>103</v>
      </c>
    </row>
    <row r="6" spans="1:13" x14ac:dyDescent="0.25">
      <c r="B6" s="14" t="s">
        <v>263</v>
      </c>
      <c r="C6" s="15"/>
      <c r="D6" s="15"/>
      <c r="E6" s="15"/>
      <c r="F6" s="15"/>
      <c r="G6" s="15"/>
    </row>
    <row r="7" spans="1:13" ht="15.75" x14ac:dyDescent="0.25">
      <c r="B7" s="73" t="s">
        <v>264</v>
      </c>
      <c r="C7" s="360">
        <v>4948</v>
      </c>
      <c r="D7" s="360">
        <v>6300</v>
      </c>
      <c r="E7" s="360">
        <v>7341</v>
      </c>
      <c r="F7" s="360">
        <v>8032</v>
      </c>
      <c r="G7" s="360">
        <v>8244</v>
      </c>
      <c r="H7" s="75"/>
      <c r="I7" s="74">
        <f>G7*(1+I8)</f>
        <v>8549.0280000000002</v>
      </c>
      <c r="J7" s="74">
        <f>I7*(1+J8)</f>
        <v>8850.3812369999996</v>
      </c>
      <c r="K7" s="74">
        <f t="shared" ref="K7" si="0">J7*(1+K8)</f>
        <v>9146.8690084395002</v>
      </c>
      <c r="L7" s="74">
        <f t="shared" ref="L7" si="1">K7*(1+L8)</f>
        <v>9437.282099457454</v>
      </c>
      <c r="M7" s="74">
        <f t="shared" ref="M7" si="2">L7*(1+M8)</f>
        <v>9720.4005624411784</v>
      </c>
    </row>
    <row r="8" spans="1:13" x14ac:dyDescent="0.25">
      <c r="B8" s="8" t="s">
        <v>183</v>
      </c>
      <c r="C8" s="17" t="s">
        <v>184</v>
      </c>
      <c r="D8" s="17">
        <f t="shared" ref="D8" si="3">D7/C7-1</f>
        <v>0.27324171382376727</v>
      </c>
      <c r="E8" s="17">
        <f t="shared" ref="E8" si="4">E7/D7-1</f>
        <v>0.16523809523809518</v>
      </c>
      <c r="F8" s="17">
        <f t="shared" ref="F8" si="5">F7/E7-1</f>
        <v>9.4128865277210094E-2</v>
      </c>
      <c r="G8" s="17">
        <f t="shared" ref="G8" si="6">G7/F7-1</f>
        <v>2.639442231075706E-2</v>
      </c>
      <c r="H8" s="76"/>
      <c r="I8" s="362">
        <f>Assumptions!I14</f>
        <v>3.6999999999999991E-2</v>
      </c>
      <c r="J8" s="362">
        <f>Assumptions!J14</f>
        <v>3.5249999999999997E-2</v>
      </c>
      <c r="K8" s="362">
        <f>Assumptions!K14</f>
        <v>3.3499999999999995E-2</v>
      </c>
      <c r="L8" s="362">
        <f>Assumptions!L14</f>
        <v>3.175E-2</v>
      </c>
      <c r="M8" s="362">
        <f>Assumptions!M14</f>
        <v>0.03</v>
      </c>
    </row>
    <row r="9" spans="1:13" x14ac:dyDescent="0.25">
      <c r="B9" s="18"/>
      <c r="C9" s="19"/>
      <c r="D9" s="19"/>
      <c r="E9" s="19"/>
      <c r="F9" s="19"/>
      <c r="G9" s="19"/>
      <c r="H9" s="7"/>
      <c r="I9" s="7"/>
      <c r="J9" s="7"/>
      <c r="K9" s="7"/>
      <c r="L9" s="7"/>
      <c r="M9" s="7"/>
    </row>
    <row r="10" spans="1:13" ht="15.75" x14ac:dyDescent="0.25">
      <c r="B10" s="73" t="s">
        <v>265</v>
      </c>
      <c r="C10" s="360">
        <v>3429</v>
      </c>
      <c r="D10" s="360">
        <v>2796</v>
      </c>
      <c r="E10" s="360">
        <v>2994</v>
      </c>
      <c r="F10" s="360">
        <v>3157</v>
      </c>
      <c r="G10" s="360">
        <v>3464</v>
      </c>
      <c r="H10" s="75"/>
      <c r="I10" s="74">
        <f>G10*(1+I11)</f>
        <v>3602.56</v>
      </c>
      <c r="J10" s="74">
        <f>I10*(1+J11)</f>
        <v>3737.6560000000004</v>
      </c>
      <c r="K10" s="74">
        <f t="shared" ref="K10" si="7">J10*(1+K11)</f>
        <v>3868.4739600000003</v>
      </c>
      <c r="L10" s="74">
        <f t="shared" ref="L10" si="8">K10*(1+L11)</f>
        <v>3994.1993637</v>
      </c>
      <c r="M10" s="74">
        <f t="shared" ref="M10" si="9">L10*(1+M11)</f>
        <v>4114.025344611</v>
      </c>
    </row>
    <row r="11" spans="1:13" x14ac:dyDescent="0.25">
      <c r="B11" s="8" t="s">
        <v>183</v>
      </c>
      <c r="C11" s="21" t="s">
        <v>184</v>
      </c>
      <c r="D11" s="21">
        <f t="shared" ref="D11" si="10">D10/C10-1</f>
        <v>-0.18460192475940507</v>
      </c>
      <c r="E11" s="21">
        <f t="shared" ref="E11" si="11">E10/D10-1</f>
        <v>7.0815450643776812E-2</v>
      </c>
      <c r="F11" s="21">
        <f t="shared" ref="F11" si="12">F10/E10-1</f>
        <v>5.4442217768871037E-2</v>
      </c>
      <c r="G11" s="21">
        <f t="shared" ref="G11" si="13">G10/F10-1</f>
        <v>9.7244219195438797E-2</v>
      </c>
      <c r="H11" s="76"/>
      <c r="I11" s="362">
        <f>Assumptions!I24</f>
        <v>0.04</v>
      </c>
      <c r="J11" s="362">
        <f>Assumptions!J24</f>
        <v>3.7500000000000006E-2</v>
      </c>
      <c r="K11" s="362">
        <f>Assumptions!K24</f>
        <v>3.5000000000000003E-2</v>
      </c>
      <c r="L11" s="362">
        <f>Assumptions!L24</f>
        <v>3.2500000000000001E-2</v>
      </c>
      <c r="M11" s="362">
        <f>Assumptions!M24</f>
        <v>0.03</v>
      </c>
    </row>
    <row r="12" spans="1:13" x14ac:dyDescent="0.25">
      <c r="B12" s="18"/>
      <c r="C12" s="19"/>
      <c r="D12" s="19"/>
      <c r="E12" s="19"/>
      <c r="F12" s="19"/>
      <c r="G12" s="19"/>
      <c r="H12" s="7"/>
      <c r="I12" s="7"/>
      <c r="J12" s="7"/>
      <c r="K12" s="7"/>
      <c r="L12" s="7"/>
      <c r="M12" s="7"/>
    </row>
    <row r="13" spans="1:13" ht="15.75" x14ac:dyDescent="0.25">
      <c r="B13" s="73" t="s">
        <v>266</v>
      </c>
      <c r="C13" s="360">
        <v>1817</v>
      </c>
      <c r="D13" s="360">
        <v>1998</v>
      </c>
      <c r="E13" s="360">
        <v>1962</v>
      </c>
      <c r="F13" s="360">
        <v>2548</v>
      </c>
      <c r="G13" s="360">
        <v>2688</v>
      </c>
      <c r="H13" s="361"/>
      <c r="I13" s="74">
        <f>G13*(1+I14)</f>
        <v>2835.8399999999997</v>
      </c>
      <c r="J13" s="74">
        <f>I13*(1+J14)</f>
        <v>2974.0871999999999</v>
      </c>
      <c r="K13" s="74">
        <f t="shared" ref="K13" si="14">J13*(1+K14)</f>
        <v>3100.4859059999999</v>
      </c>
      <c r="L13" s="74">
        <f t="shared" ref="L13" si="15">K13*(1+L14)</f>
        <v>3212.8785200924995</v>
      </c>
      <c r="M13" s="74">
        <f t="shared" ref="M13" si="16">L13*(1+M14)</f>
        <v>3309.2648756952744</v>
      </c>
    </row>
    <row r="14" spans="1:13" x14ac:dyDescent="0.25">
      <c r="B14" s="8" t="s">
        <v>183</v>
      </c>
      <c r="C14" s="17" t="s">
        <v>184</v>
      </c>
      <c r="D14" s="17">
        <f t="shared" ref="D14" si="17">D13/C13-1</f>
        <v>9.961474958723171E-2</v>
      </c>
      <c r="E14" s="17">
        <f t="shared" ref="E14" si="18">E13/D13-1</f>
        <v>-1.8018018018018056E-2</v>
      </c>
      <c r="F14" s="17">
        <f t="shared" ref="F14" si="19">F13/E13-1</f>
        <v>0.29867482161060144</v>
      </c>
      <c r="G14" s="17">
        <f t="shared" ref="G14" si="20">G13/F13-1</f>
        <v>5.4945054945054972E-2</v>
      </c>
      <c r="H14" s="76"/>
      <c r="I14" s="362">
        <f>Assumptions!I34</f>
        <v>5.5E-2</v>
      </c>
      <c r="J14" s="362">
        <f>Assumptions!J34</f>
        <v>4.8750000000000002E-2</v>
      </c>
      <c r="K14" s="362">
        <f>Assumptions!K34</f>
        <v>4.2499999999999996E-2</v>
      </c>
      <c r="L14" s="362">
        <f>Assumptions!L34</f>
        <v>3.6249999999999991E-2</v>
      </c>
      <c r="M14" s="362">
        <f>Assumptions!M34</f>
        <v>2.9999999999999992E-2</v>
      </c>
    </row>
    <row r="15" spans="1:13" x14ac:dyDescent="0.25">
      <c r="B15" s="18"/>
      <c r="C15" s="22"/>
      <c r="D15" s="19"/>
      <c r="E15" s="19"/>
      <c r="F15" s="19"/>
      <c r="G15" s="19"/>
      <c r="H15" s="7"/>
      <c r="I15" s="7"/>
      <c r="J15" s="7"/>
      <c r="K15" s="7"/>
      <c r="L15" s="7"/>
      <c r="M15" s="7"/>
    </row>
    <row r="16" spans="1:13" ht="15.75" x14ac:dyDescent="0.25">
      <c r="A16" s="3"/>
      <c r="B16" s="72" t="s">
        <v>267</v>
      </c>
      <c r="C16" s="67">
        <f>SUM(C7:C13)</f>
        <v>10194</v>
      </c>
      <c r="D16" s="67">
        <f>SUM(D7:D13)</f>
        <v>11094.088639789066</v>
      </c>
      <c r="E16" s="67">
        <f>SUM(E7:E13)</f>
        <v>12297.236053545883</v>
      </c>
      <c r="F16" s="67">
        <f>SUM(F7:F13)</f>
        <v>13737.148571083046</v>
      </c>
      <c r="G16" s="67">
        <f>SUM(G7:G13)</f>
        <v>14396.123638641508</v>
      </c>
      <c r="H16" s="68"/>
      <c r="I16" s="67">
        <f>SUM(I13,I10,I7)</f>
        <v>14987.428</v>
      </c>
      <c r="J16" s="67">
        <f t="shared" ref="J16:M16" si="21">SUM(J13,J10,J7)</f>
        <v>15562.124437</v>
      </c>
      <c r="K16" s="67">
        <f t="shared" si="21"/>
        <v>16115.828874439499</v>
      </c>
      <c r="L16" s="67">
        <f t="shared" si="21"/>
        <v>16644.359983249953</v>
      </c>
      <c r="M16" s="67">
        <f t="shared" si="21"/>
        <v>17143.690782747453</v>
      </c>
    </row>
    <row r="17" spans="1:13" x14ac:dyDescent="0.25">
      <c r="A17" s="157" t="s">
        <v>181</v>
      </c>
      <c r="B17" s="8" t="s">
        <v>183</v>
      </c>
      <c r="C17" s="17" t="s">
        <v>184</v>
      </c>
      <c r="D17" s="17">
        <f t="shared" ref="D17" si="22">D16/C16-1</f>
        <v>8.8295923071322946E-2</v>
      </c>
      <c r="E17" s="17">
        <f>E16/D16-1</f>
        <v>0.10844941417195053</v>
      </c>
      <c r="F17" s="17">
        <f t="shared" ref="F17" si="23">F16/E16-1</f>
        <v>0.11709237029096209</v>
      </c>
      <c r="G17" s="17">
        <f t="shared" ref="G17" si="24">G16/F16-1</f>
        <v>4.7970294864948748E-2</v>
      </c>
      <c r="H17" s="76"/>
      <c r="I17" s="21">
        <f>I16/G16-1</f>
        <v>4.1073859616719055E-2</v>
      </c>
      <c r="J17" s="21">
        <f>J16/I16-1</f>
        <v>3.8345234218973401E-2</v>
      </c>
      <c r="K17" s="21">
        <f t="shared" ref="K17" si="25">K16/J16-1</f>
        <v>3.558026024538341E-2</v>
      </c>
      <c r="L17" s="21">
        <f t="shared" ref="L17" si="26">L16/K16-1</f>
        <v>3.2795775689125728E-2</v>
      </c>
      <c r="M17" s="21">
        <f t="shared" ref="M17" si="27">M16/L16-1</f>
        <v>3.0000000000000027E-2</v>
      </c>
    </row>
    <row r="19" spans="1:13" ht="22.5" x14ac:dyDescent="0.3">
      <c r="B19" s="225" t="s">
        <v>268</v>
      </c>
    </row>
    <row r="20" spans="1:13" ht="15.75" x14ac:dyDescent="0.25">
      <c r="A20" s="157" t="s">
        <v>181</v>
      </c>
      <c r="B20" s="1" t="s">
        <v>179</v>
      </c>
      <c r="C20" s="2" t="s">
        <v>94</v>
      </c>
      <c r="D20" s="2" t="s">
        <v>95</v>
      </c>
      <c r="E20" s="2" t="s">
        <v>96</v>
      </c>
      <c r="F20" s="2" t="s">
        <v>97</v>
      </c>
      <c r="G20" s="2" t="s">
        <v>98</v>
      </c>
      <c r="I20" s="2" t="s">
        <v>99</v>
      </c>
      <c r="J20" s="2" t="s">
        <v>100</v>
      </c>
      <c r="K20" s="2" t="s">
        <v>101</v>
      </c>
      <c r="L20" s="2" t="s">
        <v>102</v>
      </c>
      <c r="M20" s="2" t="s">
        <v>103</v>
      </c>
    </row>
    <row r="21" spans="1:13" x14ac:dyDescent="0.25">
      <c r="B21" s="14" t="s">
        <v>263</v>
      </c>
      <c r="C21" s="15"/>
      <c r="D21" s="15"/>
      <c r="E21" s="15"/>
      <c r="F21" s="15"/>
      <c r="G21" s="15"/>
    </row>
    <row r="22" spans="1:13" ht="15.75" x14ac:dyDescent="0.25">
      <c r="B22" s="73" t="s">
        <v>264</v>
      </c>
      <c r="C22" s="360">
        <v>4948</v>
      </c>
      <c r="D22" s="360">
        <v>6300</v>
      </c>
      <c r="E22" s="360">
        <v>7341</v>
      </c>
      <c r="F22" s="360">
        <v>8032</v>
      </c>
      <c r="G22" s="360">
        <v>8244</v>
      </c>
      <c r="H22" s="75"/>
      <c r="I22" s="74">
        <f>G22*(1+I23)</f>
        <v>8573.76</v>
      </c>
      <c r="J22" s="74">
        <f>I22*(1+J23)</f>
        <v>8895.2760000000017</v>
      </c>
      <c r="K22" s="74">
        <f t="shared" ref="K22:M22" si="28">J22*(1+K23)</f>
        <v>9206.6106600000003</v>
      </c>
      <c r="L22" s="74">
        <f t="shared" si="28"/>
        <v>9505.8255064500008</v>
      </c>
      <c r="M22" s="74">
        <f t="shared" si="28"/>
        <v>9791.000271643501</v>
      </c>
    </row>
    <row r="23" spans="1:13" x14ac:dyDescent="0.25">
      <c r="B23" s="8" t="s">
        <v>183</v>
      </c>
      <c r="C23" s="17" t="s">
        <v>184</v>
      </c>
      <c r="D23" s="17">
        <f t="shared" ref="D23:G23" si="29">D22/C22-1</f>
        <v>0.27324171382376727</v>
      </c>
      <c r="E23" s="17">
        <f t="shared" si="29"/>
        <v>0.16523809523809518</v>
      </c>
      <c r="F23" s="17">
        <f t="shared" si="29"/>
        <v>9.4128865277210094E-2</v>
      </c>
      <c r="G23" s="17">
        <f t="shared" si="29"/>
        <v>2.639442231075706E-2</v>
      </c>
      <c r="H23" s="76"/>
      <c r="I23" s="362">
        <f>Assumptions!I12</f>
        <v>0.04</v>
      </c>
      <c r="J23" s="362">
        <f>Assumptions!J12</f>
        <v>3.7500000000000006E-2</v>
      </c>
      <c r="K23" s="362">
        <f>Assumptions!K12</f>
        <v>3.5000000000000003E-2</v>
      </c>
      <c r="L23" s="362">
        <f>Assumptions!L12</f>
        <v>3.2500000000000001E-2</v>
      </c>
      <c r="M23" s="362">
        <f>Assumptions!M12</f>
        <v>0.03</v>
      </c>
    </row>
    <row r="24" spans="1:13" x14ac:dyDescent="0.25">
      <c r="B24" s="18"/>
      <c r="C24" s="19"/>
      <c r="D24" s="19"/>
      <c r="E24" s="19"/>
      <c r="F24" s="19"/>
      <c r="G24" s="19"/>
      <c r="H24" s="7"/>
      <c r="I24" s="7"/>
      <c r="J24" s="7"/>
      <c r="K24" s="7"/>
      <c r="L24" s="7"/>
      <c r="M24" s="7"/>
    </row>
    <row r="25" spans="1:13" ht="15.75" x14ac:dyDescent="0.25">
      <c r="B25" s="73" t="s">
        <v>265</v>
      </c>
      <c r="C25" s="360">
        <v>3429</v>
      </c>
      <c r="D25" s="360">
        <v>2796</v>
      </c>
      <c r="E25" s="360">
        <v>2994</v>
      </c>
      <c r="F25" s="360">
        <v>3157</v>
      </c>
      <c r="G25" s="360">
        <v>3464</v>
      </c>
      <c r="H25" s="75"/>
      <c r="I25" s="74">
        <f>G25*(1+I26)</f>
        <v>3637.2000000000003</v>
      </c>
      <c r="J25" s="74">
        <f>I25*(1+J26)</f>
        <v>3800.8740000000003</v>
      </c>
      <c r="K25" s="74">
        <f t="shared" ref="K25:M25" si="30">J25*(1+K26)</f>
        <v>3952.9089600000002</v>
      </c>
      <c r="L25" s="74">
        <f t="shared" si="30"/>
        <v>4091.2607736</v>
      </c>
      <c r="M25" s="74">
        <f t="shared" si="30"/>
        <v>4213.998596808</v>
      </c>
    </row>
    <row r="26" spans="1:13" x14ac:dyDescent="0.25">
      <c r="B26" s="8" t="s">
        <v>183</v>
      </c>
      <c r="C26" s="21" t="s">
        <v>184</v>
      </c>
      <c r="D26" s="21">
        <f t="shared" ref="D26:G26" si="31">D25/C25-1</f>
        <v>-0.18460192475940507</v>
      </c>
      <c r="E26" s="21">
        <f t="shared" si="31"/>
        <v>7.0815450643776812E-2</v>
      </c>
      <c r="F26" s="21">
        <f t="shared" si="31"/>
        <v>5.4442217768871037E-2</v>
      </c>
      <c r="G26" s="21">
        <f t="shared" si="31"/>
        <v>9.7244219195438797E-2</v>
      </c>
      <c r="H26" s="76"/>
      <c r="I26" s="362">
        <f>Assumptions!I22</f>
        <v>5.000000000000001E-2</v>
      </c>
      <c r="J26" s="362">
        <f>Assumptions!J22</f>
        <v>4.5000000000000012E-2</v>
      </c>
      <c r="K26" s="362">
        <f>Assumptions!K22</f>
        <v>4.0000000000000008E-2</v>
      </c>
      <c r="L26" s="362">
        <f>Assumptions!L22</f>
        <v>3.5000000000000003E-2</v>
      </c>
      <c r="M26" s="362">
        <f>Assumptions!M22</f>
        <v>0.03</v>
      </c>
    </row>
    <row r="27" spans="1:13" x14ac:dyDescent="0.25">
      <c r="B27" s="18"/>
      <c r="C27" s="19"/>
      <c r="D27" s="19"/>
      <c r="E27" s="19"/>
      <c r="F27" s="19"/>
      <c r="G27" s="19"/>
      <c r="H27" s="7"/>
      <c r="I27" s="7"/>
      <c r="J27" s="7"/>
      <c r="K27" s="7"/>
      <c r="L27" s="7"/>
      <c r="M27" s="7"/>
    </row>
    <row r="28" spans="1:13" ht="15.75" x14ac:dyDescent="0.25">
      <c r="B28" s="73" t="s">
        <v>266</v>
      </c>
      <c r="C28" s="360">
        <v>1817</v>
      </c>
      <c r="D28" s="360">
        <v>1998</v>
      </c>
      <c r="E28" s="360">
        <v>1962</v>
      </c>
      <c r="F28" s="360">
        <v>2548</v>
      </c>
      <c r="G28" s="360">
        <v>2688</v>
      </c>
      <c r="H28" s="75"/>
      <c r="I28" s="74">
        <f>G28*(1+I29)</f>
        <v>2862.72</v>
      </c>
      <c r="J28" s="74">
        <f>I28*(1+J29)</f>
        <v>3023.7479999999996</v>
      </c>
      <c r="K28" s="74">
        <f t="shared" ref="K28:M28" si="32">J28*(1+K29)</f>
        <v>3167.3760299999999</v>
      </c>
      <c r="L28" s="74">
        <f t="shared" si="32"/>
        <v>3290.1118511625</v>
      </c>
      <c r="M28" s="74">
        <f t="shared" si="32"/>
        <v>3388.8152066973753</v>
      </c>
    </row>
    <row r="29" spans="1:13" x14ac:dyDescent="0.25">
      <c r="B29" s="8" t="s">
        <v>183</v>
      </c>
      <c r="C29" s="17" t="s">
        <v>184</v>
      </c>
      <c r="D29" s="17">
        <f t="shared" ref="D29:G29" si="33">D28/C28-1</f>
        <v>9.961474958723171E-2</v>
      </c>
      <c r="E29" s="17">
        <f t="shared" si="33"/>
        <v>-1.8018018018018056E-2</v>
      </c>
      <c r="F29" s="17">
        <f t="shared" si="33"/>
        <v>0.29867482161060144</v>
      </c>
      <c r="G29" s="17">
        <f t="shared" si="33"/>
        <v>5.4945054945054972E-2</v>
      </c>
      <c r="H29" s="76"/>
      <c r="I29" s="362">
        <f>Assumptions!I32</f>
        <v>6.500000000000003E-2</v>
      </c>
      <c r="J29" s="362">
        <f>Assumptions!J32</f>
        <v>5.6250000000000022E-2</v>
      </c>
      <c r="K29" s="362">
        <f>Assumptions!K32</f>
        <v>4.7500000000000014E-2</v>
      </c>
      <c r="L29" s="362">
        <f>Assumptions!L32</f>
        <v>3.8750000000000007E-2</v>
      </c>
      <c r="M29" s="362">
        <f>Assumptions!M32</f>
        <v>0.03</v>
      </c>
    </row>
    <row r="30" spans="1:13" x14ac:dyDescent="0.25">
      <c r="B30" s="18"/>
      <c r="C30" s="22"/>
      <c r="D30" s="19"/>
      <c r="E30" s="19"/>
      <c r="F30" s="19"/>
      <c r="G30" s="19"/>
      <c r="H30" s="7"/>
      <c r="I30" s="7"/>
      <c r="J30" s="7"/>
      <c r="K30" s="7"/>
      <c r="L30" s="7"/>
      <c r="M30" s="7"/>
    </row>
    <row r="31" spans="1:13" ht="15.75" x14ac:dyDescent="0.25">
      <c r="A31" s="3"/>
      <c r="B31" s="72" t="s">
        <v>267</v>
      </c>
      <c r="C31" s="67">
        <f>SUM(C22:C28)</f>
        <v>10194</v>
      </c>
      <c r="D31" s="67">
        <f>SUM(D22:D28)</f>
        <v>11094.088639789066</v>
      </c>
      <c r="E31" s="67">
        <f>SUM(E22:E28)</f>
        <v>12297.236053545883</v>
      </c>
      <c r="F31" s="67">
        <f>SUM(F22:F28)</f>
        <v>13737.148571083046</v>
      </c>
      <c r="G31" s="67">
        <f>SUM(G22:G28)</f>
        <v>14396.123638641508</v>
      </c>
      <c r="H31" s="68"/>
      <c r="I31" s="67">
        <f>SUM(I28,I25,I22)</f>
        <v>15073.68</v>
      </c>
      <c r="J31" s="67">
        <f t="shared" ref="J31:M31" si="34">SUM(J28,J25,J22)</f>
        <v>15719.898000000001</v>
      </c>
      <c r="K31" s="67">
        <f t="shared" si="34"/>
        <v>16326.89565</v>
      </c>
      <c r="L31" s="67">
        <f t="shared" si="34"/>
        <v>16887.198131212499</v>
      </c>
      <c r="M31" s="67">
        <f t="shared" si="34"/>
        <v>17393.814075148875</v>
      </c>
    </row>
    <row r="32" spans="1:13" x14ac:dyDescent="0.25">
      <c r="A32" s="157" t="s">
        <v>181</v>
      </c>
      <c r="B32" s="8" t="s">
        <v>183</v>
      </c>
      <c r="C32" s="17" t="s">
        <v>184</v>
      </c>
      <c r="D32" s="17">
        <f t="shared" ref="D32:G32" si="35">D31/C31-1</f>
        <v>8.8295923071322946E-2</v>
      </c>
      <c r="E32" s="17">
        <f>E31/D31-1</f>
        <v>0.10844941417195053</v>
      </c>
      <c r="F32" s="17">
        <f t="shared" si="35"/>
        <v>0.11709237029096209</v>
      </c>
      <c r="G32" s="17">
        <f t="shared" si="35"/>
        <v>4.7970294864948748E-2</v>
      </c>
      <c r="H32" s="76"/>
      <c r="I32" s="21">
        <f>I31/G31-1</f>
        <v>4.7065194656971565E-2</v>
      </c>
      <c r="J32" s="21">
        <f>J31/I31-1</f>
        <v>4.2870619516932829E-2</v>
      </c>
      <c r="K32" s="21">
        <f t="shared" ref="K32:M32" si="36">K31/J31-1</f>
        <v>3.8613332605593298E-2</v>
      </c>
      <c r="L32" s="21">
        <f t="shared" si="36"/>
        <v>3.4317759678490933E-2</v>
      </c>
      <c r="M32" s="21">
        <f t="shared" si="36"/>
        <v>3.0000000000000027E-2</v>
      </c>
    </row>
    <row r="34" spans="1:13" ht="22.5" x14ac:dyDescent="0.3">
      <c r="B34" s="225" t="s">
        <v>269</v>
      </c>
    </row>
    <row r="35" spans="1:13" ht="15.75" x14ac:dyDescent="0.25">
      <c r="A35" s="157" t="s">
        <v>181</v>
      </c>
      <c r="B35" s="1" t="s">
        <v>179</v>
      </c>
      <c r="C35" s="2" t="s">
        <v>94</v>
      </c>
      <c r="D35" s="2" t="s">
        <v>95</v>
      </c>
      <c r="E35" s="2" t="s">
        <v>96</v>
      </c>
      <c r="F35" s="2" t="s">
        <v>97</v>
      </c>
      <c r="G35" s="2" t="s">
        <v>98</v>
      </c>
      <c r="I35" s="2" t="s">
        <v>99</v>
      </c>
      <c r="J35" s="2" t="s">
        <v>100</v>
      </c>
      <c r="K35" s="2" t="s">
        <v>101</v>
      </c>
      <c r="L35" s="2" t="s">
        <v>102</v>
      </c>
      <c r="M35" s="2" t="s">
        <v>103</v>
      </c>
    </row>
    <row r="36" spans="1:13" x14ac:dyDescent="0.25">
      <c r="B36" s="14" t="s">
        <v>263</v>
      </c>
      <c r="C36" s="15"/>
      <c r="D36" s="15"/>
      <c r="E36" s="15"/>
      <c r="F36" s="15"/>
      <c r="G36" s="15"/>
    </row>
    <row r="37" spans="1:13" ht="15.75" x14ac:dyDescent="0.25">
      <c r="B37" s="73" t="s">
        <v>264</v>
      </c>
      <c r="C37" s="360">
        <v>4948</v>
      </c>
      <c r="D37" s="360">
        <v>6300</v>
      </c>
      <c r="E37" s="360">
        <v>7341</v>
      </c>
      <c r="F37" s="360">
        <v>8032</v>
      </c>
      <c r="G37" s="360">
        <v>8244</v>
      </c>
      <c r="H37" s="75"/>
      <c r="I37" s="74">
        <f>G37*(1+I38)</f>
        <v>8606.7360000000008</v>
      </c>
      <c r="J37" s="74">
        <f>I37*(1+J38)</f>
        <v>8955.3088079999998</v>
      </c>
      <c r="K37" s="74">
        <f t="shared" ref="K37" si="37">J37*(1+K38)</f>
        <v>9286.6552338959991</v>
      </c>
      <c r="L37" s="74">
        <f t="shared" ref="L37" si="38">K37*(1+L38)</f>
        <v>9597.7581842315158</v>
      </c>
      <c r="M37" s="74">
        <f t="shared" ref="M37" si="39">L37*(1+M38)</f>
        <v>9885.6909297584607</v>
      </c>
    </row>
    <row r="38" spans="1:13" x14ac:dyDescent="0.25">
      <c r="B38" s="8" t="s">
        <v>183</v>
      </c>
      <c r="C38" s="17" t="s">
        <v>184</v>
      </c>
      <c r="D38" s="17">
        <f t="shared" ref="D38" si="40">D37/C37-1</f>
        <v>0.27324171382376727</v>
      </c>
      <c r="E38" s="17">
        <f t="shared" ref="E38" si="41">E37/D37-1</f>
        <v>0.16523809523809518</v>
      </c>
      <c r="F38" s="17">
        <f t="shared" ref="F38" si="42">F37/E37-1</f>
        <v>9.4128865277210094E-2</v>
      </c>
      <c r="G38" s="17">
        <f t="shared" ref="G38" si="43">G37/F37-1</f>
        <v>2.639442231075706E-2</v>
      </c>
      <c r="H38" s="76"/>
      <c r="I38" s="362">
        <f>Assumptions!I10</f>
        <v>4.4000000000000011E-2</v>
      </c>
      <c r="J38" s="362">
        <f>Assumptions!J10</f>
        <v>4.0500000000000008E-2</v>
      </c>
      <c r="K38" s="362">
        <f>Assumptions!K10</f>
        <v>3.7000000000000005E-2</v>
      </c>
      <c r="L38" s="362">
        <f>Assumptions!L10</f>
        <v>3.3500000000000009E-2</v>
      </c>
      <c r="M38" s="362">
        <f>Assumptions!M10</f>
        <v>3.0000000000000006E-2</v>
      </c>
    </row>
    <row r="39" spans="1:13" x14ac:dyDescent="0.25">
      <c r="B39" s="18"/>
      <c r="C39" s="19"/>
      <c r="D39" s="19"/>
      <c r="E39" s="19"/>
      <c r="F39" s="19"/>
      <c r="G39" s="19"/>
      <c r="H39" s="7"/>
      <c r="I39" s="7"/>
      <c r="J39" s="7"/>
      <c r="K39" s="7"/>
      <c r="L39" s="7"/>
      <c r="M39" s="7"/>
    </row>
    <row r="40" spans="1:13" ht="15.75" x14ac:dyDescent="0.25">
      <c r="B40" s="73" t="s">
        <v>265</v>
      </c>
      <c r="C40" s="360">
        <v>3429</v>
      </c>
      <c r="D40" s="360">
        <v>2796</v>
      </c>
      <c r="E40" s="360">
        <v>2994</v>
      </c>
      <c r="F40" s="360">
        <v>3157</v>
      </c>
      <c r="G40" s="360">
        <v>3464</v>
      </c>
      <c r="H40" s="75"/>
      <c r="I40" s="74">
        <f>G40*(1+I41)</f>
        <v>3671.84</v>
      </c>
      <c r="J40" s="74">
        <f>I40*(1+J41)</f>
        <v>3864.6116000000002</v>
      </c>
      <c r="K40" s="74">
        <f t="shared" ref="K40" si="44">J40*(1+K41)</f>
        <v>4038.5191219999997</v>
      </c>
      <c r="L40" s="74">
        <f t="shared" ref="L40" si="45">K40*(1+L41)</f>
        <v>4189.9635890749996</v>
      </c>
      <c r="M40" s="74">
        <f t="shared" ref="M40" si="46">L40*(1+M41)</f>
        <v>4315.6624967472499</v>
      </c>
    </row>
    <row r="41" spans="1:13" x14ac:dyDescent="0.25">
      <c r="B41" s="8" t="s">
        <v>183</v>
      </c>
      <c r="C41" s="21" t="s">
        <v>184</v>
      </c>
      <c r="D41" s="21">
        <f t="shared" ref="D41" si="47">D40/C40-1</f>
        <v>-0.18460192475940507</v>
      </c>
      <c r="E41" s="21">
        <f t="shared" ref="E41" si="48">E40/D40-1</f>
        <v>7.0815450643776812E-2</v>
      </c>
      <c r="F41" s="21">
        <f t="shared" ref="F41" si="49">F40/E40-1</f>
        <v>5.4442217768871037E-2</v>
      </c>
      <c r="G41" s="21">
        <f t="shared" ref="G41" si="50">G40/F40-1</f>
        <v>9.7244219195438797E-2</v>
      </c>
      <c r="H41" s="76"/>
      <c r="I41" s="362">
        <f>Assumptions!I20</f>
        <v>6.0000000000000005E-2</v>
      </c>
      <c r="J41" s="362">
        <f>Assumptions!J20</f>
        <v>5.2499999999999998E-2</v>
      </c>
      <c r="K41" s="362">
        <f>Assumptions!K20</f>
        <v>4.4999999999999998E-2</v>
      </c>
      <c r="L41" s="362">
        <f>Assumptions!L20</f>
        <v>3.7499999999999992E-2</v>
      </c>
      <c r="M41" s="362">
        <f>Assumptions!M20</f>
        <v>2.9999999999999992E-2</v>
      </c>
    </row>
    <row r="42" spans="1:13" x14ac:dyDescent="0.25">
      <c r="B42" s="18"/>
      <c r="C42" s="19"/>
      <c r="D42" s="19"/>
      <c r="E42" s="19"/>
      <c r="F42" s="19"/>
      <c r="G42" s="19"/>
      <c r="H42" s="7"/>
      <c r="I42" s="7"/>
      <c r="J42" s="7"/>
      <c r="K42" s="7"/>
      <c r="L42" s="7"/>
      <c r="M42" s="7"/>
    </row>
    <row r="43" spans="1:13" ht="15.75" x14ac:dyDescent="0.25">
      <c r="B43" s="73" t="s">
        <v>266</v>
      </c>
      <c r="C43" s="360">
        <v>1817</v>
      </c>
      <c r="D43" s="360">
        <v>1998</v>
      </c>
      <c r="E43" s="360">
        <v>1962</v>
      </c>
      <c r="F43" s="360">
        <v>2548</v>
      </c>
      <c r="G43" s="360">
        <v>2688</v>
      </c>
      <c r="H43" s="75"/>
      <c r="I43" s="74">
        <f>G43*(1+I44)</f>
        <v>2889.6</v>
      </c>
      <c r="J43" s="74">
        <f>I43*(1+J44)</f>
        <v>3073.8119999999999</v>
      </c>
      <c r="K43" s="74">
        <f t="shared" ref="K43" si="51">J43*(1+K44)</f>
        <v>3235.1871299999998</v>
      </c>
      <c r="L43" s="74">
        <f t="shared" ref="L43" si="52">K43*(1+L44)</f>
        <v>3368.6385991124998</v>
      </c>
      <c r="M43" s="74">
        <f t="shared" ref="M43" si="53">L43*(1+M44)</f>
        <v>3469.6977570858749</v>
      </c>
    </row>
    <row r="44" spans="1:13" x14ac:dyDescent="0.25">
      <c r="B44" s="8" t="s">
        <v>183</v>
      </c>
      <c r="C44" s="17" t="s">
        <v>184</v>
      </c>
      <c r="D44" s="17">
        <f t="shared" ref="D44" si="54">D43/C43-1</f>
        <v>9.961474958723171E-2</v>
      </c>
      <c r="E44" s="17">
        <f t="shared" ref="E44" si="55">E43/D43-1</f>
        <v>-1.8018018018018056E-2</v>
      </c>
      <c r="F44" s="17">
        <f t="shared" ref="F44" si="56">F43/E43-1</f>
        <v>0.29867482161060144</v>
      </c>
      <c r="G44" s="17">
        <f t="shared" ref="G44" si="57">G43/F43-1</f>
        <v>5.4945054945054972E-2</v>
      </c>
      <c r="H44" s="76"/>
      <c r="I44" s="362">
        <f>Assumptions!I30</f>
        <v>7.5000000000000011E-2</v>
      </c>
      <c r="J44" s="362">
        <f>Assumptions!J30</f>
        <v>6.3750000000000015E-2</v>
      </c>
      <c r="K44" s="362">
        <f>Assumptions!K30</f>
        <v>5.2500000000000005E-2</v>
      </c>
      <c r="L44" s="362">
        <f>Assumptions!L30</f>
        <v>4.1250000000000002E-2</v>
      </c>
      <c r="M44" s="362">
        <f>Assumptions!M30</f>
        <v>0.03</v>
      </c>
    </row>
    <row r="45" spans="1:13" x14ac:dyDescent="0.25">
      <c r="B45" s="18"/>
      <c r="C45" s="22"/>
      <c r="D45" s="19"/>
      <c r="E45" s="19"/>
      <c r="F45" s="19"/>
      <c r="G45" s="19"/>
      <c r="H45" s="7"/>
      <c r="I45" s="7"/>
      <c r="J45" s="7"/>
      <c r="K45" s="7"/>
      <c r="L45" s="7"/>
      <c r="M45" s="7"/>
    </row>
    <row r="46" spans="1:13" ht="15.75" x14ac:dyDescent="0.25">
      <c r="A46" s="3"/>
      <c r="B46" s="72" t="s">
        <v>267</v>
      </c>
      <c r="C46" s="67">
        <f>SUM(C37:C43)</f>
        <v>10194</v>
      </c>
      <c r="D46" s="67">
        <f>SUM(D37:D43)</f>
        <v>11094.088639789066</v>
      </c>
      <c r="E46" s="67">
        <f>SUM(E37:E43)</f>
        <v>12297.236053545883</v>
      </c>
      <c r="F46" s="67">
        <f>SUM(F37:F43)</f>
        <v>13737.148571083046</v>
      </c>
      <c r="G46" s="67">
        <f>SUM(G37:G43)</f>
        <v>14396.123638641508</v>
      </c>
      <c r="H46" s="68"/>
      <c r="I46" s="67">
        <f>SUM(I43,I40,I37)</f>
        <v>15168.176000000001</v>
      </c>
      <c r="J46" s="67">
        <f t="shared" ref="J46:M46" si="58">SUM(J43,J40,J37)</f>
        <v>15893.732408</v>
      </c>
      <c r="K46" s="67">
        <f t="shared" si="58"/>
        <v>16560.361485895999</v>
      </c>
      <c r="L46" s="67">
        <f t="shared" si="58"/>
        <v>17156.360372419014</v>
      </c>
      <c r="M46" s="67">
        <f t="shared" si="58"/>
        <v>17671.051183591586</v>
      </c>
    </row>
    <row r="47" spans="1:13" x14ac:dyDescent="0.25">
      <c r="A47" s="157" t="s">
        <v>181</v>
      </c>
      <c r="B47" s="8" t="s">
        <v>183</v>
      </c>
      <c r="C47" s="17" t="s">
        <v>184</v>
      </c>
      <c r="D47" s="17">
        <f t="shared" ref="D47" si="59">D46/C46-1</f>
        <v>8.8295923071322946E-2</v>
      </c>
      <c r="E47" s="17">
        <f>E46/D46-1</f>
        <v>0.10844941417195053</v>
      </c>
      <c r="F47" s="17">
        <f t="shared" ref="F47" si="60">F46/E46-1</f>
        <v>0.11709237029096209</v>
      </c>
      <c r="G47" s="17">
        <f t="shared" ref="G47" si="61">G46/F46-1</f>
        <v>4.7970294864948748E-2</v>
      </c>
      <c r="H47" s="76"/>
      <c r="I47" s="21">
        <f>I46/G46-1</f>
        <v>5.3629183851004347E-2</v>
      </c>
      <c r="J47" s="21">
        <f>J46/I46-1</f>
        <v>4.7834123760167158E-2</v>
      </c>
      <c r="K47" s="21">
        <f t="shared" ref="K47" si="62">K46/J46-1</f>
        <v>4.1942890491880602E-2</v>
      </c>
      <c r="L47" s="21">
        <f t="shared" ref="L47" si="63">L46/K46-1</f>
        <v>3.5989485315922165E-2</v>
      </c>
      <c r="M47" s="21">
        <f t="shared" ref="M47" si="64">M46/L46-1</f>
        <v>3.0000000000000027E-2</v>
      </c>
    </row>
  </sheetData>
  <pageMargins left="0.7" right="0.7" top="0.75" bottom="0.75" header="0.3" footer="0.3"/>
  <pageSetup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E36E-0C7F-4929-8957-D5B5F0AC97F5}">
  <sheetPr>
    <pageSetUpPr fitToPage="1"/>
  </sheetPr>
  <dimension ref="A1:M58"/>
  <sheetViews>
    <sheetView showGridLines="0" zoomScale="80" zoomScaleNormal="80" workbookViewId="0"/>
  </sheetViews>
  <sheetFormatPr defaultColWidth="8.85546875" defaultRowHeight="15" x14ac:dyDescent="0.25"/>
  <cols>
    <col min="1" max="1" width="2.85546875" customWidth="1"/>
    <col min="2" max="2" width="37.42578125" customWidth="1"/>
    <col min="3" max="7" width="12.85546875" customWidth="1"/>
    <col min="8" max="8" width="2.85546875" customWidth="1"/>
    <col min="9" max="13" width="12.85546875" customWidth="1"/>
  </cols>
  <sheetData>
    <row r="1" spans="1:13" s="232" customFormat="1" x14ac:dyDescent="0.25"/>
    <row r="2" spans="1:13" s="291" customFormat="1" ht="34.5" x14ac:dyDescent="0.45">
      <c r="B2" s="308" t="s">
        <v>270</v>
      </c>
      <c r="C2" s="292"/>
      <c r="D2" s="292"/>
      <c r="E2" s="292"/>
      <c r="F2" s="292"/>
      <c r="G2" s="292"/>
      <c r="H2" s="292"/>
      <c r="I2" s="292"/>
      <c r="J2" s="292"/>
      <c r="K2" s="292"/>
      <c r="L2" s="292"/>
      <c r="M2" s="292"/>
    </row>
    <row r="3" spans="1:13" ht="15.75" x14ac:dyDescent="0.25">
      <c r="B3" s="51"/>
      <c r="C3" s="6"/>
      <c r="D3" s="6"/>
      <c r="E3" s="6"/>
      <c r="F3" s="6"/>
      <c r="G3" s="6"/>
      <c r="H3" s="6"/>
      <c r="I3" s="6"/>
      <c r="J3" s="6"/>
      <c r="K3" s="6"/>
      <c r="L3" s="6"/>
      <c r="M3" s="6"/>
    </row>
    <row r="4" spans="1:13" ht="15.75" x14ac:dyDescent="0.25">
      <c r="A4" s="202"/>
      <c r="B4" s="1" t="s">
        <v>2</v>
      </c>
      <c r="C4" s="2" t="s">
        <v>94</v>
      </c>
      <c r="D4" s="2" t="s">
        <v>95</v>
      </c>
      <c r="E4" s="2" t="s">
        <v>96</v>
      </c>
      <c r="F4" s="2" t="s">
        <v>97</v>
      </c>
      <c r="G4" s="2" t="s">
        <v>98</v>
      </c>
      <c r="H4" s="81" t="s">
        <v>180</v>
      </c>
      <c r="I4" s="2" t="s">
        <v>99</v>
      </c>
      <c r="J4" s="2" t="s">
        <v>100</v>
      </c>
      <c r="K4" s="2" t="s">
        <v>101</v>
      </c>
      <c r="L4" s="2" t="s">
        <v>102</v>
      </c>
      <c r="M4" s="2" t="s">
        <v>103</v>
      </c>
    </row>
    <row r="6" spans="1:13" ht="15.75" x14ac:dyDescent="0.25">
      <c r="B6" s="73" t="s">
        <v>264</v>
      </c>
      <c r="C6" s="74">
        <v>4948</v>
      </c>
      <c r="D6" s="74">
        <v>6300</v>
      </c>
      <c r="E6" s="74">
        <v>7341</v>
      </c>
      <c r="F6" s="74">
        <v>8032</v>
      </c>
      <c r="G6" s="74">
        <v>8244</v>
      </c>
      <c r="H6" s="75"/>
      <c r="I6" s="74">
        <f>CHOOSE('DCF Overview'!$F$5,Assumptions!I9,Assumptions!I11,Assumptions!I13)</f>
        <v>8573.76</v>
      </c>
      <c r="J6" s="74">
        <f>CHOOSE('DCF Overview'!$F$5,Assumptions!J9,Assumptions!J11,Assumptions!J13)</f>
        <v>8895.2760000000017</v>
      </c>
      <c r="K6" s="74">
        <f>CHOOSE('DCF Overview'!$F$5,Assumptions!K9,Assumptions!K11,Assumptions!K13)</f>
        <v>9206.6106600000003</v>
      </c>
      <c r="L6" s="74">
        <f>CHOOSE('DCF Overview'!$F$5,Assumptions!L9,Assumptions!L11,Assumptions!L13)</f>
        <v>9505.8255064500008</v>
      </c>
      <c r="M6" s="74">
        <f>CHOOSE('DCF Overview'!$F$5,Assumptions!M9,Assumptions!M11,Assumptions!M13)</f>
        <v>9791.000271643501</v>
      </c>
    </row>
    <row r="7" spans="1:13" ht="15.75" x14ac:dyDescent="0.25">
      <c r="B7" s="16" t="s">
        <v>271</v>
      </c>
      <c r="C7" s="17" t="s">
        <v>184</v>
      </c>
      <c r="D7" s="17">
        <f t="shared" ref="D7:G7" si="0">D6/C6-1</f>
        <v>0.27324171382376727</v>
      </c>
      <c r="E7" s="17">
        <f t="shared" si="0"/>
        <v>0.16523809523809518</v>
      </c>
      <c r="F7" s="17">
        <f t="shared" si="0"/>
        <v>9.4128865277210094E-2</v>
      </c>
      <c r="G7" s="17">
        <f t="shared" si="0"/>
        <v>2.639442231075706E-2</v>
      </c>
      <c r="H7" s="76"/>
      <c r="I7" s="237">
        <f>CHOOSE('DCF Overview'!$F$5,Assumptions!I10,Assumptions!I12,Assumptions!I14)</f>
        <v>0.04</v>
      </c>
      <c r="J7" s="237">
        <f>CHOOSE('DCF Overview'!$F$5,Assumptions!J10,Assumptions!J12,Assumptions!J14)</f>
        <v>3.7500000000000006E-2</v>
      </c>
      <c r="K7" s="237">
        <f>CHOOSE('DCF Overview'!$F$5,Assumptions!K10,Assumptions!K12,Assumptions!K14)</f>
        <v>3.5000000000000003E-2</v>
      </c>
      <c r="L7" s="237">
        <f>CHOOSE('DCF Overview'!$F$5,Assumptions!L10,Assumptions!L12,Assumptions!L14)</f>
        <v>3.2500000000000001E-2</v>
      </c>
      <c r="M7" s="237">
        <f>CHOOSE('DCF Overview'!$F$5,Assumptions!M10,Assumptions!M12,Assumptions!M14)</f>
        <v>0.03</v>
      </c>
    </row>
    <row r="9" spans="1:13" ht="15.75" x14ac:dyDescent="0.25">
      <c r="C9" s="51"/>
      <c r="F9" s="51" t="s">
        <v>272</v>
      </c>
      <c r="I9" s="54">
        <f>$G$6*(1+I10)</f>
        <v>8606.7360000000008</v>
      </c>
      <c r="J9" s="54">
        <f>I9*(1+J10)</f>
        <v>8955.3088079999998</v>
      </c>
      <c r="K9" s="54">
        <f t="shared" ref="K9:M9" si="1">J9*(1+K10)</f>
        <v>9286.6552338959991</v>
      </c>
      <c r="L9" s="54">
        <f t="shared" si="1"/>
        <v>9597.7581842315158</v>
      </c>
      <c r="M9" s="54">
        <f t="shared" si="1"/>
        <v>9885.6909297584607</v>
      </c>
    </row>
    <row r="10" spans="1:13" x14ac:dyDescent="0.25">
      <c r="C10" s="64"/>
      <c r="F10" s="64" t="s">
        <v>183</v>
      </c>
      <c r="I10" s="492">
        <v>4.4000000000000011E-2</v>
      </c>
      <c r="J10" s="492">
        <v>4.0500000000000008E-2</v>
      </c>
      <c r="K10" s="492">
        <v>3.7000000000000005E-2</v>
      </c>
      <c r="L10" s="492">
        <v>3.3500000000000009E-2</v>
      </c>
      <c r="M10" s="492">
        <v>3.0000000000000006E-2</v>
      </c>
    </row>
    <row r="11" spans="1:13" ht="15.75" x14ac:dyDescent="0.25">
      <c r="C11" s="51"/>
      <c r="F11" s="51" t="s">
        <v>273</v>
      </c>
      <c r="I11" s="54">
        <f>$G$6*(1+I12)</f>
        <v>8573.76</v>
      </c>
      <c r="J11" s="54">
        <f>I11*(1+J12)</f>
        <v>8895.2760000000017</v>
      </c>
      <c r="K11" s="54">
        <f t="shared" ref="K11" si="2">J11*(1+K12)</f>
        <v>9206.6106600000003</v>
      </c>
      <c r="L11" s="54">
        <f t="shared" ref="L11" si="3">K11*(1+L12)</f>
        <v>9505.8255064500008</v>
      </c>
      <c r="M11" s="54">
        <f t="shared" ref="M11" si="4">L11*(1+M12)</f>
        <v>9791.000271643501</v>
      </c>
    </row>
    <row r="12" spans="1:13" x14ac:dyDescent="0.25">
      <c r="C12" s="64"/>
      <c r="F12" s="64" t="s">
        <v>183</v>
      </c>
      <c r="I12" s="492">
        <v>0.04</v>
      </c>
      <c r="J12" s="492">
        <v>3.7500000000000006E-2</v>
      </c>
      <c r="K12" s="492">
        <v>3.5000000000000003E-2</v>
      </c>
      <c r="L12" s="492">
        <v>3.2500000000000001E-2</v>
      </c>
      <c r="M12" s="492">
        <v>0.03</v>
      </c>
    </row>
    <row r="13" spans="1:13" ht="15.75" x14ac:dyDescent="0.25">
      <c r="C13" s="51"/>
      <c r="F13" s="51" t="s">
        <v>274</v>
      </c>
      <c r="I13" s="54">
        <f>$G$6*(1+I14)</f>
        <v>8549.0280000000002</v>
      </c>
      <c r="J13" s="54">
        <f>I13*(1+J14)</f>
        <v>8850.3812369999996</v>
      </c>
      <c r="K13" s="54">
        <f t="shared" ref="K13" si="5">J13*(1+K14)</f>
        <v>9146.8690084395002</v>
      </c>
      <c r="L13" s="54">
        <f t="shared" ref="L13" si="6">K13*(1+L14)</f>
        <v>9437.282099457454</v>
      </c>
      <c r="M13" s="54">
        <f t="shared" ref="M13" si="7">L13*(1+M14)</f>
        <v>9720.4005624411784</v>
      </c>
    </row>
    <row r="14" spans="1:13" x14ac:dyDescent="0.25">
      <c r="C14" s="64"/>
      <c r="F14" s="64" t="s">
        <v>183</v>
      </c>
      <c r="I14" s="492">
        <v>3.6999999999999991E-2</v>
      </c>
      <c r="J14" s="492">
        <v>3.5249999999999997E-2</v>
      </c>
      <c r="K14" s="492">
        <v>3.3499999999999995E-2</v>
      </c>
      <c r="L14" s="492">
        <v>3.175E-2</v>
      </c>
      <c r="M14" s="492">
        <v>0.03</v>
      </c>
    </row>
    <row r="15" spans="1:13" x14ac:dyDescent="0.25">
      <c r="I15" s="7"/>
      <c r="J15" s="7"/>
      <c r="K15" s="7"/>
      <c r="L15" s="7"/>
      <c r="M15" s="7"/>
    </row>
    <row r="16" spans="1:13" ht="15.75" x14ac:dyDescent="0.25">
      <c r="B16" s="73" t="s">
        <v>265</v>
      </c>
      <c r="C16" s="74">
        <v>3429</v>
      </c>
      <c r="D16" s="74">
        <v>2796</v>
      </c>
      <c r="E16" s="74">
        <v>2994</v>
      </c>
      <c r="F16" s="74">
        <v>3157</v>
      </c>
      <c r="G16" s="74">
        <v>3464</v>
      </c>
      <c r="H16" s="75"/>
      <c r="I16" s="74">
        <f>CHOOSE('DCF Overview'!$F$5,Assumptions!I19,Assumptions!I21,Assumptions!I23)</f>
        <v>3637.2000000000003</v>
      </c>
      <c r="J16" s="74">
        <f>CHOOSE('DCF Overview'!$F$5,Assumptions!J19,Assumptions!J21,Assumptions!J23)</f>
        <v>3800.8740000000003</v>
      </c>
      <c r="K16" s="74">
        <f>CHOOSE('DCF Overview'!$F$5,Assumptions!K19,Assumptions!K21,Assumptions!K23)</f>
        <v>3952.9089600000002</v>
      </c>
      <c r="L16" s="74">
        <f>CHOOSE('DCF Overview'!$F$5,Assumptions!L19,Assumptions!L21,Assumptions!L23)</f>
        <v>4091.2607736</v>
      </c>
      <c r="M16" s="74">
        <f>CHOOSE('DCF Overview'!$F$5,Assumptions!M19,Assumptions!M21,Assumptions!M23)</f>
        <v>4213.998596808</v>
      </c>
    </row>
    <row r="17" spans="2:13" ht="15.75" x14ac:dyDescent="0.25">
      <c r="B17" s="20" t="s">
        <v>271</v>
      </c>
      <c r="C17" s="21" t="s">
        <v>184</v>
      </c>
      <c r="D17" s="21">
        <f t="shared" ref="D17:G17" si="8">D16/C16-1</f>
        <v>-0.18460192475940507</v>
      </c>
      <c r="E17" s="21">
        <f t="shared" si="8"/>
        <v>7.0815450643776812E-2</v>
      </c>
      <c r="F17" s="21">
        <f t="shared" si="8"/>
        <v>5.4442217768871037E-2</v>
      </c>
      <c r="G17" s="21">
        <f t="shared" si="8"/>
        <v>9.7244219195438797E-2</v>
      </c>
      <c r="H17" s="76"/>
      <c r="I17" s="237">
        <f>CHOOSE('DCF Overview'!$F$5,Assumptions!I20,Assumptions!I22,Assumptions!I24)</f>
        <v>5.000000000000001E-2</v>
      </c>
      <c r="J17" s="237">
        <f>CHOOSE('DCF Overview'!$F$5,Assumptions!J20,Assumptions!J22,Assumptions!J24)</f>
        <v>4.5000000000000012E-2</v>
      </c>
      <c r="K17" s="237">
        <f>CHOOSE('DCF Overview'!$F$5,Assumptions!K20,Assumptions!K22,Assumptions!K24)</f>
        <v>4.0000000000000008E-2</v>
      </c>
      <c r="L17" s="237">
        <f>CHOOSE('DCF Overview'!$F$5,Assumptions!L20,Assumptions!L22,Assumptions!L24)</f>
        <v>3.5000000000000003E-2</v>
      </c>
      <c r="M17" s="237">
        <f>CHOOSE('DCF Overview'!$F$5,Assumptions!M20,Assumptions!M22,Assumptions!M24)</f>
        <v>0.03</v>
      </c>
    </row>
    <row r="18" spans="2:13" x14ac:dyDescent="0.25">
      <c r="I18" s="7"/>
      <c r="J18" s="7"/>
      <c r="K18" s="7"/>
      <c r="L18" s="7"/>
      <c r="M18" s="7"/>
    </row>
    <row r="19" spans="2:13" ht="15.75" x14ac:dyDescent="0.25">
      <c r="C19" s="51"/>
      <c r="F19" s="51" t="s">
        <v>272</v>
      </c>
      <c r="I19" s="54">
        <f>$G$16*(1+I20)</f>
        <v>3671.84</v>
      </c>
      <c r="J19" s="54">
        <f>I19*(1+J20)</f>
        <v>3864.6116000000002</v>
      </c>
      <c r="K19" s="54">
        <f t="shared" ref="K19" si="9">J19*(1+K20)</f>
        <v>4038.5191219999997</v>
      </c>
      <c r="L19" s="54">
        <f t="shared" ref="L19" si="10">K19*(1+L20)</f>
        <v>4189.9635890749996</v>
      </c>
      <c r="M19" s="54">
        <f t="shared" ref="M19" si="11">L19*(1+M20)</f>
        <v>4315.6624967472499</v>
      </c>
    </row>
    <row r="20" spans="2:13" x14ac:dyDescent="0.25">
      <c r="C20" s="64"/>
      <c r="F20" s="64" t="s">
        <v>183</v>
      </c>
      <c r="I20" s="492">
        <v>6.0000000000000005E-2</v>
      </c>
      <c r="J20" s="492">
        <v>5.2499999999999998E-2</v>
      </c>
      <c r="K20" s="492">
        <v>4.4999999999999998E-2</v>
      </c>
      <c r="L20" s="492">
        <v>3.7499999999999992E-2</v>
      </c>
      <c r="M20" s="492">
        <v>2.9999999999999992E-2</v>
      </c>
    </row>
    <row r="21" spans="2:13" ht="15.75" x14ac:dyDescent="0.25">
      <c r="C21" s="51"/>
      <c r="F21" s="51" t="s">
        <v>273</v>
      </c>
      <c r="I21" s="54">
        <f>$G$16*(1+I22)</f>
        <v>3637.2000000000003</v>
      </c>
      <c r="J21" s="54">
        <f>I21*(1+J22)</f>
        <v>3800.8740000000003</v>
      </c>
      <c r="K21" s="54">
        <f t="shared" ref="K21" si="12">J21*(1+K22)</f>
        <v>3952.9089600000002</v>
      </c>
      <c r="L21" s="54">
        <f t="shared" ref="L21" si="13">K21*(1+L22)</f>
        <v>4091.2607736</v>
      </c>
      <c r="M21" s="54">
        <f t="shared" ref="M21" si="14">L21*(1+M22)</f>
        <v>4213.998596808</v>
      </c>
    </row>
    <row r="22" spans="2:13" x14ac:dyDescent="0.25">
      <c r="C22" s="64"/>
      <c r="F22" s="64" t="s">
        <v>183</v>
      </c>
      <c r="I22" s="492">
        <v>5.000000000000001E-2</v>
      </c>
      <c r="J22" s="492">
        <v>4.5000000000000012E-2</v>
      </c>
      <c r="K22" s="492">
        <v>4.0000000000000008E-2</v>
      </c>
      <c r="L22" s="492">
        <v>3.5000000000000003E-2</v>
      </c>
      <c r="M22" s="492">
        <v>0.03</v>
      </c>
    </row>
    <row r="23" spans="2:13" ht="15.75" x14ac:dyDescent="0.25">
      <c r="C23" s="51"/>
      <c r="F23" s="51" t="s">
        <v>274</v>
      </c>
      <c r="I23" s="54">
        <f>$G$16*(1+I24)</f>
        <v>3602.56</v>
      </c>
      <c r="J23" s="54">
        <f>I23*(1+J24)</f>
        <v>3737.6560000000004</v>
      </c>
      <c r="K23" s="54">
        <f t="shared" ref="K23" si="15">J23*(1+K24)</f>
        <v>3868.4739600000003</v>
      </c>
      <c r="L23" s="54">
        <f t="shared" ref="L23" si="16">K23*(1+L24)</f>
        <v>3994.1993637</v>
      </c>
      <c r="M23" s="54">
        <f t="shared" ref="M23" si="17">L23*(1+M24)</f>
        <v>4114.025344611</v>
      </c>
    </row>
    <row r="24" spans="2:13" x14ac:dyDescent="0.25">
      <c r="C24" s="64"/>
      <c r="F24" s="64" t="s">
        <v>183</v>
      </c>
      <c r="I24" s="492">
        <v>0.04</v>
      </c>
      <c r="J24" s="492">
        <v>3.7500000000000006E-2</v>
      </c>
      <c r="K24" s="492">
        <v>3.5000000000000003E-2</v>
      </c>
      <c r="L24" s="492">
        <v>3.2500000000000001E-2</v>
      </c>
      <c r="M24" s="492">
        <v>0.03</v>
      </c>
    </row>
    <row r="25" spans="2:13" x14ac:dyDescent="0.25">
      <c r="I25" s="7"/>
      <c r="J25" s="7"/>
      <c r="K25" s="7"/>
      <c r="L25" s="7"/>
      <c r="M25" s="7"/>
    </row>
    <row r="26" spans="2:13" ht="15.75" x14ac:dyDescent="0.25">
      <c r="B26" s="73" t="s">
        <v>266</v>
      </c>
      <c r="C26" s="74">
        <v>1817</v>
      </c>
      <c r="D26" s="74">
        <v>1998</v>
      </c>
      <c r="E26" s="74">
        <v>1962</v>
      </c>
      <c r="F26" s="74">
        <v>2548</v>
      </c>
      <c r="G26" s="74">
        <v>2688</v>
      </c>
      <c r="H26" s="75"/>
      <c r="I26" s="74">
        <f>CHOOSE('DCF Overview'!$F$5,Assumptions!I29,Assumptions!I31,Assumptions!I33)</f>
        <v>2862.72</v>
      </c>
      <c r="J26" s="74">
        <f>CHOOSE('DCF Overview'!$F$5,Assumptions!J29,Assumptions!J31,Assumptions!J33)</f>
        <v>3023.7479999999996</v>
      </c>
      <c r="K26" s="74">
        <f>CHOOSE('DCF Overview'!$F$5,Assumptions!K29,Assumptions!K31,Assumptions!K33)</f>
        <v>3167.3760299999999</v>
      </c>
      <c r="L26" s="74">
        <f>CHOOSE('DCF Overview'!$F$5,Assumptions!L29,Assumptions!L31,Assumptions!L33)</f>
        <v>3290.1118511625</v>
      </c>
      <c r="M26" s="74">
        <f>CHOOSE('DCF Overview'!$F$5,Assumptions!M29,Assumptions!M31,Assumptions!M33)</f>
        <v>3388.8152066973753</v>
      </c>
    </row>
    <row r="27" spans="2:13" ht="15.75" x14ac:dyDescent="0.25">
      <c r="B27" s="16" t="s">
        <v>271</v>
      </c>
      <c r="C27" s="17" t="s">
        <v>184</v>
      </c>
      <c r="D27" s="17">
        <f t="shared" ref="D27:G27" si="18">D26/C26-1</f>
        <v>9.961474958723171E-2</v>
      </c>
      <c r="E27" s="17">
        <f t="shared" si="18"/>
        <v>-1.8018018018018056E-2</v>
      </c>
      <c r="F27" s="17">
        <f t="shared" si="18"/>
        <v>0.29867482161060144</v>
      </c>
      <c r="G27" s="17">
        <f t="shared" si="18"/>
        <v>5.4945054945054972E-2</v>
      </c>
      <c r="H27" s="76"/>
      <c r="I27" s="237">
        <f>CHOOSE('DCF Overview'!$F$5,Assumptions!I30,Assumptions!I32,Assumptions!I34)</f>
        <v>6.500000000000003E-2</v>
      </c>
      <c r="J27" s="237">
        <f>CHOOSE('DCF Overview'!$F$5,Assumptions!J30,Assumptions!J32,Assumptions!J34)</f>
        <v>5.6250000000000022E-2</v>
      </c>
      <c r="K27" s="237">
        <f>CHOOSE('DCF Overview'!$F$5,Assumptions!K30,Assumptions!K32,Assumptions!K34)</f>
        <v>4.7500000000000014E-2</v>
      </c>
      <c r="L27" s="237">
        <f>CHOOSE('DCF Overview'!$F$5,Assumptions!L30,Assumptions!L32,Assumptions!L34)</f>
        <v>3.8750000000000007E-2</v>
      </c>
      <c r="M27" s="237">
        <f>CHOOSE('DCF Overview'!$F$5,Assumptions!M30,Assumptions!M32,Assumptions!M34)</f>
        <v>0.03</v>
      </c>
    </row>
    <row r="28" spans="2:13" x14ac:dyDescent="0.25">
      <c r="I28" s="7"/>
      <c r="J28" s="7"/>
      <c r="K28" s="7"/>
      <c r="L28" s="7"/>
      <c r="M28" s="7"/>
    </row>
    <row r="29" spans="2:13" ht="15.75" x14ac:dyDescent="0.25">
      <c r="C29" s="51"/>
      <c r="F29" s="51" t="s">
        <v>272</v>
      </c>
      <c r="I29" s="54">
        <f>$G$26*(1+I30)</f>
        <v>2889.6</v>
      </c>
      <c r="J29" s="54">
        <f>I29*(1+J30)</f>
        <v>3073.8119999999999</v>
      </c>
      <c r="K29" s="54">
        <f t="shared" ref="K29" si="19">J29*(1+K30)</f>
        <v>3235.1871299999998</v>
      </c>
      <c r="L29" s="54">
        <f t="shared" ref="L29" si="20">K29*(1+L30)</f>
        <v>3368.6385991124998</v>
      </c>
      <c r="M29" s="54">
        <f t="shared" ref="M29" si="21">L29*(1+M30)</f>
        <v>3469.6977570858749</v>
      </c>
    </row>
    <row r="30" spans="2:13" x14ac:dyDescent="0.25">
      <c r="C30" s="64"/>
      <c r="F30" s="64" t="s">
        <v>183</v>
      </c>
      <c r="I30" s="492">
        <v>7.5000000000000011E-2</v>
      </c>
      <c r="J30" s="492">
        <v>6.3750000000000015E-2</v>
      </c>
      <c r="K30" s="492">
        <v>5.2500000000000005E-2</v>
      </c>
      <c r="L30" s="492">
        <v>4.1250000000000002E-2</v>
      </c>
      <c r="M30" s="492">
        <v>0.03</v>
      </c>
    </row>
    <row r="31" spans="2:13" ht="15.75" x14ac:dyDescent="0.25">
      <c r="C31" s="51"/>
      <c r="F31" s="51" t="s">
        <v>273</v>
      </c>
      <c r="I31" s="54">
        <f>$G$26*(1+I32)</f>
        <v>2862.72</v>
      </c>
      <c r="J31" s="54">
        <f>I31*(1+J32)</f>
        <v>3023.7479999999996</v>
      </c>
      <c r="K31" s="54">
        <f t="shared" ref="K31" si="22">J31*(1+K32)</f>
        <v>3167.3760299999999</v>
      </c>
      <c r="L31" s="54">
        <f t="shared" ref="L31" si="23">K31*(1+L32)</f>
        <v>3290.1118511625</v>
      </c>
      <c r="M31" s="54">
        <f t="shared" ref="M31" si="24">L31*(1+M32)</f>
        <v>3388.8152066973753</v>
      </c>
    </row>
    <row r="32" spans="2:13" x14ac:dyDescent="0.25">
      <c r="C32" s="64"/>
      <c r="F32" s="64" t="s">
        <v>183</v>
      </c>
      <c r="I32" s="492">
        <v>6.500000000000003E-2</v>
      </c>
      <c r="J32" s="492">
        <v>5.6250000000000022E-2</v>
      </c>
      <c r="K32" s="492">
        <v>4.7500000000000014E-2</v>
      </c>
      <c r="L32" s="492">
        <v>3.8750000000000007E-2</v>
      </c>
      <c r="M32" s="492">
        <v>0.03</v>
      </c>
    </row>
    <row r="33" spans="2:13" ht="15.75" x14ac:dyDescent="0.25">
      <c r="C33" s="51"/>
      <c r="F33" s="51" t="s">
        <v>274</v>
      </c>
      <c r="I33" s="54">
        <f>$G$26*(1+I34)</f>
        <v>2835.8399999999997</v>
      </c>
      <c r="J33" s="54">
        <f>I33*(1+J34)</f>
        <v>2974.0871999999999</v>
      </c>
      <c r="K33" s="54">
        <f t="shared" ref="K33" si="25">J33*(1+K34)</f>
        <v>3100.4859059999999</v>
      </c>
      <c r="L33" s="54">
        <f t="shared" ref="L33" si="26">K33*(1+L34)</f>
        <v>3212.8785200924995</v>
      </c>
      <c r="M33" s="54">
        <f t="shared" ref="M33" si="27">L33*(1+M34)</f>
        <v>3309.2648756952744</v>
      </c>
    </row>
    <row r="34" spans="2:13" x14ac:dyDescent="0.25">
      <c r="C34" s="64"/>
      <c r="F34" s="64" t="s">
        <v>183</v>
      </c>
      <c r="I34" s="492">
        <v>5.5E-2</v>
      </c>
      <c r="J34" s="492">
        <v>4.8750000000000002E-2</v>
      </c>
      <c r="K34" s="492">
        <v>4.2499999999999996E-2</v>
      </c>
      <c r="L34" s="492">
        <v>3.6249999999999991E-2</v>
      </c>
      <c r="M34" s="492">
        <v>2.9999999999999992E-2</v>
      </c>
    </row>
    <row r="36" spans="2:13" ht="15.75" x14ac:dyDescent="0.25">
      <c r="B36" s="72" t="s">
        <v>267</v>
      </c>
      <c r="C36" s="67">
        <f>SUM(C26,C16,C6)</f>
        <v>10194</v>
      </c>
      <c r="D36" s="67">
        <f>SUM(D26,D16,D6)</f>
        <v>11094</v>
      </c>
      <c r="E36" s="67">
        <f>SUM(E26,E16,E6)</f>
        <v>12297</v>
      </c>
      <c r="F36" s="67">
        <f>SUM(F26,F16,F6)</f>
        <v>13737</v>
      </c>
      <c r="G36" s="67">
        <f>SUM(G26,G16,G6)</f>
        <v>14396</v>
      </c>
      <c r="I36" s="67">
        <f>SUM(I26,I16,I6)</f>
        <v>15073.68</v>
      </c>
      <c r="J36" s="67">
        <f t="shared" ref="J36:M36" si="28">SUM(J26,J16,J6)</f>
        <v>15719.898000000001</v>
      </c>
      <c r="K36" s="67">
        <f t="shared" si="28"/>
        <v>16326.89565</v>
      </c>
      <c r="L36" s="67">
        <f t="shared" si="28"/>
        <v>16887.198131212499</v>
      </c>
      <c r="M36" s="67">
        <f t="shared" si="28"/>
        <v>17393.814075148875</v>
      </c>
    </row>
    <row r="37" spans="2:13" x14ac:dyDescent="0.25">
      <c r="B37" s="16" t="s">
        <v>271</v>
      </c>
      <c r="C37" s="17" t="s">
        <v>184</v>
      </c>
      <c r="D37" s="17">
        <f t="shared" ref="D37:G37" si="29">D36/C36-1</f>
        <v>8.8287227781047584E-2</v>
      </c>
      <c r="E37" s="17">
        <f>E36/D36-1</f>
        <v>0.10843699296917242</v>
      </c>
      <c r="F37" s="17">
        <f t="shared" si="29"/>
        <v>0.11710173212978781</v>
      </c>
      <c r="G37" s="17">
        <f t="shared" si="29"/>
        <v>4.797262866710339E-2</v>
      </c>
      <c r="I37" s="11">
        <f>I36/G36-1</f>
        <v>4.707418727424284E-2</v>
      </c>
      <c r="J37" s="11">
        <f>J36/I36-1</f>
        <v>4.2870619516932829E-2</v>
      </c>
      <c r="K37" s="11">
        <f t="shared" ref="K37:M37" si="30">K36/J36-1</f>
        <v>3.8613332605593298E-2</v>
      </c>
      <c r="L37" s="11">
        <f t="shared" si="30"/>
        <v>3.4317759678490933E-2</v>
      </c>
      <c r="M37" s="11">
        <f t="shared" si="30"/>
        <v>3.0000000000000027E-2</v>
      </c>
    </row>
    <row r="40" spans="2:13" ht="15.75" x14ac:dyDescent="0.25">
      <c r="B40" s="72" t="s">
        <v>6</v>
      </c>
      <c r="C40" s="67">
        <f>'Income Statement'!C9</f>
        <v>8690</v>
      </c>
      <c r="D40" s="67">
        <f>'Income Statement'!D9</f>
        <v>9546</v>
      </c>
      <c r="E40" s="67">
        <f>'Income Statement'!E9</f>
        <v>10560</v>
      </c>
      <c r="F40" s="67">
        <f>'Income Statement'!F9</f>
        <v>11723</v>
      </c>
      <c r="G40" s="67">
        <f>'Income Statement'!G9</f>
        <v>12312</v>
      </c>
      <c r="I40" s="67">
        <f>I41*I36</f>
        <v>12842.77536</v>
      </c>
      <c r="J40" s="67">
        <f t="shared" ref="J40:M40" si="31">J41*J36</f>
        <v>13377.633198000001</v>
      </c>
      <c r="K40" s="67">
        <f t="shared" si="31"/>
        <v>13877.8613025</v>
      </c>
      <c r="L40" s="67">
        <f t="shared" si="31"/>
        <v>14337.231213399411</v>
      </c>
      <c r="M40" s="67">
        <f t="shared" si="31"/>
        <v>14749.954335726246</v>
      </c>
    </row>
    <row r="41" spans="2:13" x14ac:dyDescent="0.25">
      <c r="B41" s="16" t="s">
        <v>7</v>
      </c>
      <c r="C41" s="17" t="s">
        <v>184</v>
      </c>
      <c r="D41" s="17">
        <f>D40/D36</f>
        <v>0.86046511627906974</v>
      </c>
      <c r="E41" s="17">
        <f t="shared" ref="E41:G41" si="32">E40/E36</f>
        <v>0.85874603561844354</v>
      </c>
      <c r="F41" s="17">
        <f t="shared" si="32"/>
        <v>0.85338865836791145</v>
      </c>
      <c r="G41" s="17">
        <f t="shared" si="32"/>
        <v>0.85523756599055289</v>
      </c>
      <c r="I41" s="11">
        <f>CHOOSE('DCF Overview'!$F$5,Assumptions!I44,Assumptions!I46,Assumptions!I48)</f>
        <v>0.85199999999999998</v>
      </c>
      <c r="J41" s="11">
        <f>CHOOSE('DCF Overview'!$F$5,Assumptions!J44,Assumptions!J46,Assumptions!J48)</f>
        <v>0.85099999999999998</v>
      </c>
      <c r="K41" s="11">
        <f>CHOOSE('DCF Overview'!$F$5,Assumptions!K44,Assumptions!K46,Assumptions!K48)</f>
        <v>0.85</v>
      </c>
      <c r="L41" s="11">
        <f>CHOOSE('DCF Overview'!$F$5,Assumptions!L44,Assumptions!L46,Assumptions!L48)</f>
        <v>0.84899999999999998</v>
      </c>
      <c r="M41" s="11">
        <f>CHOOSE('DCF Overview'!$F$5,Assumptions!M44,Assumptions!M46,Assumptions!M48)</f>
        <v>0.84799999999999998</v>
      </c>
    </row>
    <row r="43" spans="2:13" ht="15.75" x14ac:dyDescent="0.25">
      <c r="C43" s="51"/>
      <c r="F43" s="51" t="s">
        <v>272</v>
      </c>
      <c r="I43" s="54">
        <f>I$36*I44</f>
        <v>12812.628000000001</v>
      </c>
      <c r="J43" s="54">
        <f t="shared" ref="J43:M43" si="33">J$36*J44</f>
        <v>13263.6639375</v>
      </c>
      <c r="K43" s="54">
        <f t="shared" si="33"/>
        <v>13673.775106874999</v>
      </c>
      <c r="L43" s="54">
        <f t="shared" si="33"/>
        <v>14037.483446570388</v>
      </c>
      <c r="M43" s="54">
        <f t="shared" si="33"/>
        <v>14349.896611997821</v>
      </c>
    </row>
    <row r="44" spans="2:13" x14ac:dyDescent="0.25">
      <c r="C44" s="64"/>
      <c r="F44" s="64" t="s">
        <v>183</v>
      </c>
      <c r="I44" s="493">
        <v>0.85</v>
      </c>
      <c r="J44" s="493">
        <v>0.84374999999999989</v>
      </c>
      <c r="K44" s="493">
        <v>0.83749999999999991</v>
      </c>
      <c r="L44" s="493">
        <v>0.83124999999999993</v>
      </c>
      <c r="M44" s="493">
        <v>0.82499999999999996</v>
      </c>
    </row>
    <row r="45" spans="2:13" ht="15.75" x14ac:dyDescent="0.25">
      <c r="C45" s="51"/>
      <c r="F45" s="51" t="s">
        <v>273</v>
      </c>
      <c r="I45" s="54">
        <f>I$36*I46</f>
        <v>12842.77536</v>
      </c>
      <c r="J45" s="54">
        <f t="shared" ref="J45:M45" si="34">J$36*J46</f>
        <v>13377.633198000001</v>
      </c>
      <c r="K45" s="54">
        <f t="shared" si="34"/>
        <v>13877.8613025</v>
      </c>
      <c r="L45" s="54">
        <f t="shared" si="34"/>
        <v>14337.231213399411</v>
      </c>
      <c r="M45" s="54">
        <f t="shared" si="34"/>
        <v>14749.954335726246</v>
      </c>
    </row>
    <row r="46" spans="2:13" x14ac:dyDescent="0.25">
      <c r="C46" s="64"/>
      <c r="F46" s="64" t="s">
        <v>183</v>
      </c>
      <c r="I46" s="493">
        <v>0.85199999999999998</v>
      </c>
      <c r="J46" s="493">
        <v>0.85099999999999998</v>
      </c>
      <c r="K46" s="493">
        <v>0.85</v>
      </c>
      <c r="L46" s="493">
        <v>0.84899999999999998</v>
      </c>
      <c r="M46" s="493">
        <v>0.84799999999999998</v>
      </c>
    </row>
    <row r="47" spans="2:13" ht="15.75" x14ac:dyDescent="0.25">
      <c r="C47" s="51"/>
      <c r="F47" s="51" t="s">
        <v>274</v>
      </c>
      <c r="I47" s="54">
        <f>I$36*I48</f>
        <v>12872.92272</v>
      </c>
      <c r="J47" s="54">
        <f t="shared" ref="J47:M47" si="35">J$36*J48</f>
        <v>13432.652840999999</v>
      </c>
      <c r="K47" s="54">
        <f t="shared" si="35"/>
        <v>13959.49578075</v>
      </c>
      <c r="L47" s="54">
        <f t="shared" si="35"/>
        <v>14446.998001252292</v>
      </c>
      <c r="M47" s="54">
        <f t="shared" si="35"/>
        <v>14889.104848327437</v>
      </c>
    </row>
    <row r="48" spans="2:13" x14ac:dyDescent="0.25">
      <c r="C48" s="64"/>
      <c r="F48" s="64" t="s">
        <v>183</v>
      </c>
      <c r="I48" s="493">
        <v>0.85399999999999998</v>
      </c>
      <c r="J48" s="493">
        <v>0.85449999999999993</v>
      </c>
      <c r="K48" s="493">
        <v>0.85499999999999998</v>
      </c>
      <c r="L48" s="493">
        <v>0.85549999999999993</v>
      </c>
      <c r="M48" s="493">
        <v>0.85599999999999998</v>
      </c>
    </row>
    <row r="50" spans="2:13" ht="15.75" x14ac:dyDescent="0.25">
      <c r="B50" s="72" t="s">
        <v>275</v>
      </c>
      <c r="C50" s="67">
        <f>'Income Statement'!C15</f>
        <v>729</v>
      </c>
      <c r="D50" s="67">
        <f>'Income Statement'!D15</f>
        <v>689</v>
      </c>
      <c r="E50" s="67">
        <f>'Income Statement'!E15</f>
        <v>770</v>
      </c>
      <c r="F50" s="67">
        <f>'Income Statement'!F15</f>
        <v>860</v>
      </c>
      <c r="G50" s="67">
        <f>'Income Statement'!G15</f>
        <v>950</v>
      </c>
      <c r="I50" s="67">
        <f>I51*I36</f>
        <v>979.78920000000005</v>
      </c>
      <c r="J50" s="67">
        <f t="shared" ref="J50:M50" si="36">J51*J36</f>
        <v>1033.5832935000001</v>
      </c>
      <c r="K50" s="67">
        <f t="shared" si="36"/>
        <v>1085.7385607250001</v>
      </c>
      <c r="L50" s="67">
        <f t="shared" si="36"/>
        <v>1135.6640743240407</v>
      </c>
      <c r="M50" s="67">
        <f t="shared" si="36"/>
        <v>1182.7793571101236</v>
      </c>
    </row>
    <row r="51" spans="2:13" x14ac:dyDescent="0.25">
      <c r="B51" s="16" t="s">
        <v>7</v>
      </c>
      <c r="C51" s="17" t="s">
        <v>184</v>
      </c>
      <c r="D51" s="17">
        <f>D50/D36</f>
        <v>6.2105642689742203E-2</v>
      </c>
      <c r="E51" s="17">
        <f t="shared" ref="E51:G51" si="37">E50/E36</f>
        <v>6.2616898430511506E-2</v>
      </c>
      <c r="F51" s="17">
        <f t="shared" si="37"/>
        <v>6.2604644391060643E-2</v>
      </c>
      <c r="G51" s="17">
        <f t="shared" si="37"/>
        <v>6.5990552931369822E-2</v>
      </c>
      <c r="I51" s="11">
        <f>CHOOSE('DCF Overview'!$F$5,Assumptions!I54,Assumptions!I56,Assumptions!I58)</f>
        <v>6.5000000000000002E-2</v>
      </c>
      <c r="J51" s="11">
        <f>CHOOSE('DCF Overview'!$F$5,Assumptions!J54,Assumptions!J56,Assumptions!J58)</f>
        <v>6.5750000000000003E-2</v>
      </c>
      <c r="K51" s="11">
        <f>CHOOSE('DCF Overview'!$F$5,Assumptions!K54,Assumptions!K56,Assumptions!K58)</f>
        <v>6.6500000000000004E-2</v>
      </c>
      <c r="L51" s="11">
        <f>CHOOSE('DCF Overview'!$F$5,Assumptions!L54,Assumptions!L56,Assumptions!L58)</f>
        <v>6.7250000000000004E-2</v>
      </c>
      <c r="M51" s="11">
        <f>CHOOSE('DCF Overview'!$F$5,Assumptions!M54,Assumptions!M56,Assumptions!M58)</f>
        <v>6.8000000000000005E-2</v>
      </c>
    </row>
    <row r="53" spans="2:13" ht="15.75" x14ac:dyDescent="0.25">
      <c r="C53" s="51"/>
      <c r="F53" s="51" t="s">
        <v>272</v>
      </c>
      <c r="I53" s="54">
        <f>I$36*I54</f>
        <v>949.64184</v>
      </c>
      <c r="J53" s="54">
        <f t="shared" ref="J53:M53" si="38">J$36*J54</f>
        <v>996.24853575000009</v>
      </c>
      <c r="K53" s="54">
        <f t="shared" si="38"/>
        <v>1040.8395976875001</v>
      </c>
      <c r="L53" s="54">
        <f t="shared" si="38"/>
        <v>1082.8915801640014</v>
      </c>
      <c r="M53" s="54">
        <f t="shared" si="38"/>
        <v>1121.9010078471024</v>
      </c>
    </row>
    <row r="54" spans="2:13" x14ac:dyDescent="0.25">
      <c r="C54" s="64"/>
      <c r="F54" s="64" t="s">
        <v>183</v>
      </c>
      <c r="I54" s="493">
        <v>6.3E-2</v>
      </c>
      <c r="J54" s="493">
        <v>6.3375000000000001E-2</v>
      </c>
      <c r="K54" s="493">
        <v>6.3750000000000001E-2</v>
      </c>
      <c r="L54" s="493">
        <v>6.4125000000000001E-2</v>
      </c>
      <c r="M54" s="493">
        <v>6.4500000000000002E-2</v>
      </c>
    </row>
    <row r="55" spans="2:13" ht="15.75" x14ac:dyDescent="0.25">
      <c r="C55" s="51"/>
      <c r="F55" s="51" t="s">
        <v>273</v>
      </c>
      <c r="I55" s="54">
        <f>I$36*I56</f>
        <v>979.78920000000005</v>
      </c>
      <c r="J55" s="54">
        <f t="shared" ref="J55:M55" si="39">J$36*J56</f>
        <v>1033.5832935000001</v>
      </c>
      <c r="K55" s="54">
        <f t="shared" si="39"/>
        <v>1085.7385607250001</v>
      </c>
      <c r="L55" s="54">
        <f t="shared" si="39"/>
        <v>1135.6640743240407</v>
      </c>
      <c r="M55" s="54">
        <f t="shared" si="39"/>
        <v>1182.7793571101236</v>
      </c>
    </row>
    <row r="56" spans="2:13" x14ac:dyDescent="0.25">
      <c r="C56" s="64"/>
      <c r="F56" s="64" t="s">
        <v>183</v>
      </c>
      <c r="I56" s="493">
        <v>6.5000000000000002E-2</v>
      </c>
      <c r="J56" s="493">
        <v>6.5750000000000003E-2</v>
      </c>
      <c r="K56" s="493">
        <v>6.6500000000000004E-2</v>
      </c>
      <c r="L56" s="493">
        <v>6.7250000000000004E-2</v>
      </c>
      <c r="M56" s="493">
        <v>6.8000000000000005E-2</v>
      </c>
    </row>
    <row r="57" spans="2:13" ht="15.75" x14ac:dyDescent="0.25">
      <c r="C57" s="51"/>
      <c r="F57" s="51" t="s">
        <v>274</v>
      </c>
      <c r="I57" s="54">
        <f>I$36*I58</f>
        <v>994.86288000000002</v>
      </c>
      <c r="J57" s="54">
        <f t="shared" ref="J57:M57" si="40">J$36*J58</f>
        <v>1049.3031915000001</v>
      </c>
      <c r="K57" s="54">
        <f t="shared" si="40"/>
        <v>1102.0654563750002</v>
      </c>
      <c r="L57" s="54">
        <f t="shared" si="40"/>
        <v>1152.5512724552532</v>
      </c>
      <c r="M57" s="54">
        <f t="shared" si="40"/>
        <v>1200.1731711852724</v>
      </c>
    </row>
    <row r="58" spans="2:13" x14ac:dyDescent="0.25">
      <c r="C58" s="64"/>
      <c r="F58" s="64" t="s">
        <v>183</v>
      </c>
      <c r="I58" s="493">
        <v>6.6000000000000003E-2</v>
      </c>
      <c r="J58" s="493">
        <v>6.6750000000000004E-2</v>
      </c>
      <c r="K58" s="493">
        <v>6.7500000000000004E-2</v>
      </c>
      <c r="L58" s="493">
        <v>6.8250000000000005E-2</v>
      </c>
      <c r="M58" s="493">
        <v>6.9000000000000006E-2</v>
      </c>
    </row>
  </sheetData>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06d963-d60a-4c3e-b660-f784943b7c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582A252434144887901215C21378D2" ma:contentTypeVersion="12" ma:contentTypeDescription="Create a new document." ma:contentTypeScope="" ma:versionID="cbf9b44727454e52d793fc384a9f0e01">
  <xsd:schema xmlns:xsd="http://www.w3.org/2001/XMLSchema" xmlns:xs="http://www.w3.org/2001/XMLSchema" xmlns:p="http://schemas.microsoft.com/office/2006/metadata/properties" xmlns:ns3="0406d963-d60a-4c3e-b660-f784943b7cef" xmlns:ns4="47a14915-ba1d-4f4e-afbb-cd37e2c3d0c7" targetNamespace="http://schemas.microsoft.com/office/2006/metadata/properties" ma:root="true" ma:fieldsID="4392f8c39fd98fd2eb4a3e8fe7fbeb04" ns3:_="" ns4:_="">
    <xsd:import namespace="0406d963-d60a-4c3e-b660-f784943b7cef"/>
    <xsd:import namespace="47a14915-ba1d-4f4e-afbb-cd37e2c3d0c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6d963-d60a-4c3e-b660-f784943b7c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a14915-ba1d-4f4e-afbb-cd37e2c3d0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622ED8-AC16-4561-987B-3353F8DDD788}">
  <ds:schemaRef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47a14915-ba1d-4f4e-afbb-cd37e2c3d0c7"/>
    <ds:schemaRef ds:uri="0406d963-d60a-4c3e-b660-f784943b7cef"/>
  </ds:schemaRefs>
</ds:datastoreItem>
</file>

<file path=customXml/itemProps2.xml><?xml version="1.0" encoding="utf-8"?>
<ds:datastoreItem xmlns:ds="http://schemas.openxmlformats.org/officeDocument/2006/customXml" ds:itemID="{2FB0BDC0-2A9D-468C-9441-945EA7BD2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6d963-d60a-4c3e-b660-f784943b7cef"/>
    <ds:schemaRef ds:uri="47a14915-ba1d-4f4e-afbb-cd37e2c3d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32C10E-ACD7-44E3-9589-32F00F6F55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DCF Overview</vt:lpstr>
      <vt:lpstr>DCF Sensitivity Analysis</vt:lpstr>
      <vt:lpstr>CCA Overview</vt:lpstr>
      <vt:lpstr>Comparable Companies</vt:lpstr>
      <vt:lpstr>WACC</vt:lpstr>
      <vt:lpstr>NWC</vt:lpstr>
      <vt:lpstr>Income Statement</vt:lpstr>
      <vt:lpstr>Balance Sheet</vt:lpstr>
      <vt:lpstr>Statement of Cash Flows</vt:lpstr>
      <vt:lpstr>Revenue Build</vt:lpstr>
      <vt:lpstr>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Schwartzman, Zachary</dc:creator>
  <cp:keywords/>
  <dc:description/>
  <cp:lastModifiedBy>Collins, Will</cp:lastModifiedBy>
  <cp:revision/>
  <cp:lastPrinted>2024-01-30T06:05:34Z</cp:lastPrinted>
  <dcterms:created xsi:type="dcterms:W3CDTF">2023-10-30T08:24:48Z</dcterms:created>
  <dcterms:modified xsi:type="dcterms:W3CDTF">2024-02-05T21:39:44Z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0x010100B6582A252434144887901215C21378D2</vt:lpwstr>
  </property>
</Properties>
</file>